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Гос закупки\Документация\Перфильева Т.А\временные файлы\сокольники\"/>
    </mc:Choice>
  </mc:AlternateContent>
  <bookViews>
    <workbookView xWindow="0" yWindow="0" windowWidth="17145" windowHeight="5640"/>
  </bookViews>
  <sheets>
    <sheet name="Смета СН-2012 по гл. 1-5" sheetId="5" r:id="rId1"/>
    <sheet name="Дефектная ведомость" sheetId="6" r:id="rId2"/>
    <sheet name="RV_DATA" sheetId="8" state="hidden" r:id="rId3"/>
    <sheet name="Расчет стоимости ресурсов" sheetId="7" r:id="rId4"/>
    <sheet name="Source" sheetId="1" state="hidden" r:id="rId5"/>
    <sheet name="SourceObSm" sheetId="2" state="hidden" r:id="rId6"/>
    <sheet name="SmtRes" sheetId="3" state="hidden" r:id="rId7"/>
    <sheet name="EtalonRes" sheetId="4" state="hidden" r:id="rId8"/>
  </sheets>
  <definedNames>
    <definedName name="_xlnm.Print_Titles" localSheetId="1">'Дефектная ведомость'!$18:$18</definedName>
    <definedName name="_xlnm.Print_Titles" localSheetId="3">'Расчет стоимости ресурсов'!$4:$7</definedName>
    <definedName name="_xlnm.Print_Titles" localSheetId="0">'Смета СН-2012 по гл. 1-5'!$14:$14</definedName>
    <definedName name="_xlnm.Print_Area" localSheetId="1">'Дефектная ведомость'!$A$1:$D$91</definedName>
    <definedName name="_xlnm.Print_Area" localSheetId="3">'Расчет стоимости ресурсов'!$A$1:$H$116</definedName>
    <definedName name="_xlnm.Print_Area" localSheetId="0">'Смета СН-2012 по гл. 1-5'!$A$1:$K$543</definedName>
  </definedNames>
  <calcPr calcId="152511"/>
</workbook>
</file>

<file path=xl/calcChain.xml><?xml version="1.0" encoding="utf-8"?>
<calcChain xmlns="http://schemas.openxmlformats.org/spreadsheetml/2006/main">
  <c r="G78" i="7" l="1"/>
  <c r="G114" i="7" l="1"/>
  <c r="E114" i="7"/>
  <c r="G113" i="7"/>
  <c r="E113" i="7"/>
  <c r="G112" i="7"/>
  <c r="E112" i="7"/>
  <c r="G107" i="7"/>
  <c r="E107" i="7"/>
  <c r="G106" i="7"/>
  <c r="E106" i="7"/>
  <c r="G105" i="7"/>
  <c r="E105" i="7"/>
  <c r="G95" i="7"/>
  <c r="E95" i="7"/>
  <c r="G96" i="7"/>
  <c r="E96" i="7"/>
  <c r="G97" i="7"/>
  <c r="E97" i="7"/>
  <c r="G98" i="7"/>
  <c r="E98" i="7"/>
  <c r="G99" i="7"/>
  <c r="E99" i="7"/>
  <c r="G100" i="7"/>
  <c r="E100" i="7"/>
  <c r="G93" i="7"/>
  <c r="E93" i="7"/>
  <c r="G92" i="7"/>
  <c r="E92" i="7"/>
  <c r="G94" i="7"/>
  <c r="E94" i="7"/>
  <c r="G88" i="7"/>
  <c r="E88" i="7"/>
  <c r="G87" i="7"/>
  <c r="E87" i="7"/>
  <c r="G86" i="7"/>
  <c r="E86" i="7"/>
  <c r="G80" i="7"/>
  <c r="E80" i="7"/>
  <c r="G75" i="7"/>
  <c r="E75" i="7"/>
  <c r="G76" i="7"/>
  <c r="E76" i="7"/>
  <c r="G77" i="7"/>
  <c r="E77" i="7"/>
  <c r="G79" i="7"/>
  <c r="E79" i="7"/>
  <c r="G81" i="7"/>
  <c r="E81" i="7"/>
  <c r="G73" i="7"/>
  <c r="E73" i="7"/>
  <c r="G72" i="7"/>
  <c r="E72" i="7"/>
  <c r="G74" i="7"/>
  <c r="E74" i="7"/>
  <c r="G68" i="7"/>
  <c r="E68" i="7"/>
  <c r="G67" i="7"/>
  <c r="E67" i="7"/>
  <c r="G66" i="7"/>
  <c r="E66" i="7"/>
  <c r="G60" i="7"/>
  <c r="E60" i="7"/>
  <c r="G56" i="7"/>
  <c r="E56" i="7"/>
  <c r="G57" i="7"/>
  <c r="E57" i="7"/>
  <c r="G58" i="7"/>
  <c r="E58" i="7"/>
  <c r="G59" i="7"/>
  <c r="E59" i="7"/>
  <c r="G61" i="7"/>
  <c r="E61" i="7"/>
  <c r="G53" i="7"/>
  <c r="E53" i="7"/>
  <c r="G52" i="7"/>
  <c r="E52" i="7"/>
  <c r="G54" i="7"/>
  <c r="E54" i="7"/>
  <c r="G48" i="7"/>
  <c r="E48" i="7"/>
  <c r="G47" i="7"/>
  <c r="E47" i="7"/>
  <c r="G46" i="7"/>
  <c r="E46" i="7"/>
  <c r="G39" i="7"/>
  <c r="E39" i="7"/>
  <c r="G40" i="7"/>
  <c r="E40" i="7"/>
  <c r="G41" i="7"/>
  <c r="E41" i="7"/>
  <c r="G33" i="7"/>
  <c r="E33" i="7"/>
  <c r="G34" i="7"/>
  <c r="E34" i="7"/>
  <c r="G35" i="7"/>
  <c r="E35" i="7"/>
  <c r="G28" i="7"/>
  <c r="E28" i="7"/>
  <c r="G26" i="7"/>
  <c r="E26" i="7"/>
  <c r="G25" i="7"/>
  <c r="E25" i="7"/>
  <c r="G27" i="7"/>
  <c r="E27" i="7"/>
  <c r="G21" i="7"/>
  <c r="E21" i="7"/>
  <c r="G19" i="7"/>
  <c r="E19" i="7"/>
  <c r="G18" i="7"/>
  <c r="E18" i="7"/>
  <c r="G20" i="7"/>
  <c r="E20" i="7"/>
  <c r="G14" i="7"/>
  <c r="E14" i="7"/>
  <c r="G12" i="7"/>
  <c r="E12" i="7"/>
  <c r="G11" i="7"/>
  <c r="E11" i="7"/>
  <c r="G13" i="7"/>
  <c r="E13" i="7"/>
  <c r="O82" i="8"/>
  <c r="M82" i="8"/>
  <c r="K82" i="8"/>
  <c r="J82" i="8"/>
  <c r="H82" i="8"/>
  <c r="G82" i="8"/>
  <c r="F82" i="8"/>
  <c r="E82" i="8"/>
  <c r="A82" i="8"/>
  <c r="O81" i="8"/>
  <c r="M81" i="8"/>
  <c r="K81" i="8"/>
  <c r="J81" i="8"/>
  <c r="H81" i="8"/>
  <c r="G81" i="8"/>
  <c r="F81" i="8"/>
  <c r="E81" i="8"/>
  <c r="A81" i="8"/>
  <c r="O80" i="8"/>
  <c r="M80" i="8"/>
  <c r="K80" i="8"/>
  <c r="J80" i="8"/>
  <c r="H80" i="8"/>
  <c r="G80" i="8"/>
  <c r="F80" i="8"/>
  <c r="E80" i="8"/>
  <c r="A80" i="8"/>
  <c r="O79" i="8"/>
  <c r="M79" i="8"/>
  <c r="K79" i="8"/>
  <c r="J79" i="8"/>
  <c r="H79" i="8"/>
  <c r="G79" i="8"/>
  <c r="F79" i="8"/>
  <c r="E79" i="8"/>
  <c r="A79" i="8"/>
  <c r="O78" i="8"/>
  <c r="M78" i="8"/>
  <c r="K78" i="8"/>
  <c r="J78" i="8"/>
  <c r="H78" i="8"/>
  <c r="G78" i="8"/>
  <c r="F78" i="8"/>
  <c r="E78" i="8"/>
  <c r="A78" i="8"/>
  <c r="O77" i="8"/>
  <c r="M77" i="8"/>
  <c r="K77" i="8"/>
  <c r="J77" i="8"/>
  <c r="H77" i="8"/>
  <c r="G77" i="8"/>
  <c r="F77" i="8"/>
  <c r="E77" i="8"/>
  <c r="A77" i="8"/>
  <c r="O76" i="8"/>
  <c r="M76" i="8"/>
  <c r="K76" i="8"/>
  <c r="J76" i="8"/>
  <c r="H76" i="8"/>
  <c r="G76" i="8"/>
  <c r="F76" i="8"/>
  <c r="E76" i="8"/>
  <c r="A76" i="8"/>
  <c r="O75" i="8"/>
  <c r="M75" i="8"/>
  <c r="K75" i="8"/>
  <c r="J75" i="8"/>
  <c r="H75" i="8"/>
  <c r="G75" i="8"/>
  <c r="F75" i="8"/>
  <c r="E75" i="8"/>
  <c r="A75" i="8"/>
  <c r="O74" i="8"/>
  <c r="M74" i="8"/>
  <c r="K74" i="8"/>
  <c r="J74" i="8"/>
  <c r="H74" i="8"/>
  <c r="G74" i="8"/>
  <c r="F74" i="8"/>
  <c r="E74" i="8"/>
  <c r="A74" i="8"/>
  <c r="O73" i="8"/>
  <c r="M73" i="8"/>
  <c r="K73" i="8"/>
  <c r="J73" i="8"/>
  <c r="H73" i="8"/>
  <c r="G73" i="8"/>
  <c r="F73" i="8"/>
  <c r="E73" i="8"/>
  <c r="A73" i="8"/>
  <c r="O72" i="8"/>
  <c r="M72" i="8"/>
  <c r="K72" i="8"/>
  <c r="J72" i="8"/>
  <c r="H72" i="8"/>
  <c r="G72" i="8"/>
  <c r="F72" i="8"/>
  <c r="E72" i="8"/>
  <c r="A72" i="8"/>
  <c r="O71" i="8"/>
  <c r="M71" i="8"/>
  <c r="K71" i="8"/>
  <c r="J71" i="8"/>
  <c r="H71" i="8"/>
  <c r="G71" i="8"/>
  <c r="F71" i="8"/>
  <c r="E71" i="8"/>
  <c r="A71" i="8"/>
  <c r="O70" i="8"/>
  <c r="M70" i="8"/>
  <c r="K70" i="8"/>
  <c r="J70" i="8"/>
  <c r="H70" i="8"/>
  <c r="G70" i="8"/>
  <c r="F70" i="8"/>
  <c r="E70" i="8"/>
  <c r="A70" i="8"/>
  <c r="O69" i="8"/>
  <c r="M69" i="8"/>
  <c r="K69" i="8"/>
  <c r="J69" i="8"/>
  <c r="H69" i="8"/>
  <c r="G69" i="8"/>
  <c r="F69" i="8"/>
  <c r="E69" i="8"/>
  <c r="A69" i="8"/>
  <c r="O68" i="8"/>
  <c r="M68" i="8"/>
  <c r="K68" i="8"/>
  <c r="J68" i="8"/>
  <c r="H68" i="8"/>
  <c r="G68" i="8"/>
  <c r="F68" i="8"/>
  <c r="E68" i="8"/>
  <c r="A68" i="8"/>
  <c r="G67" i="8"/>
  <c r="A67" i="8"/>
  <c r="O66" i="8"/>
  <c r="M66" i="8"/>
  <c r="K66" i="8"/>
  <c r="J66" i="8"/>
  <c r="H66" i="8"/>
  <c r="G66" i="8"/>
  <c r="F66" i="8"/>
  <c r="E66" i="8"/>
  <c r="A66" i="8"/>
  <c r="O65" i="8"/>
  <c r="M65" i="8"/>
  <c r="K65" i="8"/>
  <c r="J65" i="8"/>
  <c r="H65" i="8"/>
  <c r="G65" i="8"/>
  <c r="F65" i="8"/>
  <c r="E65" i="8"/>
  <c r="A65" i="8"/>
  <c r="O64" i="8"/>
  <c r="M64" i="8"/>
  <c r="K64" i="8"/>
  <c r="J64" i="8"/>
  <c r="H64" i="8"/>
  <c r="G64" i="8"/>
  <c r="F64" i="8"/>
  <c r="E64" i="8"/>
  <c r="A64" i="8"/>
  <c r="O63" i="8"/>
  <c r="M63" i="8"/>
  <c r="K63" i="8"/>
  <c r="J63" i="8"/>
  <c r="H63" i="8"/>
  <c r="G63" i="8"/>
  <c r="F63" i="8"/>
  <c r="E63" i="8"/>
  <c r="A63" i="8"/>
  <c r="O62" i="8"/>
  <c r="M62" i="8"/>
  <c r="K62" i="8"/>
  <c r="J62" i="8"/>
  <c r="H62" i="8"/>
  <c r="G62" i="8"/>
  <c r="F62" i="8"/>
  <c r="E62" i="8"/>
  <c r="A62" i="8"/>
  <c r="O61" i="8"/>
  <c r="M61" i="8"/>
  <c r="K61" i="8"/>
  <c r="J61" i="8"/>
  <c r="H61" i="8"/>
  <c r="G61" i="8"/>
  <c r="F61" i="8"/>
  <c r="E61" i="8"/>
  <c r="A61" i="8"/>
  <c r="O60" i="8"/>
  <c r="M60" i="8"/>
  <c r="K60" i="8"/>
  <c r="J60" i="8"/>
  <c r="H60" i="8"/>
  <c r="G60" i="8"/>
  <c r="F60" i="8"/>
  <c r="E60" i="8"/>
  <c r="A60" i="8"/>
  <c r="O59" i="8"/>
  <c r="M59" i="8"/>
  <c r="K59" i="8"/>
  <c r="J59" i="8"/>
  <c r="H59" i="8"/>
  <c r="G59" i="8"/>
  <c r="F59" i="8"/>
  <c r="E59" i="8"/>
  <c r="A59" i="8"/>
  <c r="O58" i="8"/>
  <c r="M58" i="8"/>
  <c r="K58" i="8"/>
  <c r="J58" i="8"/>
  <c r="H58" i="8"/>
  <c r="G58" i="8"/>
  <c r="F58" i="8"/>
  <c r="E58" i="8"/>
  <c r="A58" i="8"/>
  <c r="O57" i="8"/>
  <c r="M57" i="8"/>
  <c r="K57" i="8"/>
  <c r="J57" i="8"/>
  <c r="H57" i="8"/>
  <c r="G57" i="8"/>
  <c r="F57" i="8"/>
  <c r="E57" i="8"/>
  <c r="A57" i="8"/>
  <c r="O56" i="8"/>
  <c r="M56" i="8"/>
  <c r="K56" i="8"/>
  <c r="J56" i="8"/>
  <c r="H56" i="8"/>
  <c r="G56" i="8"/>
  <c r="F56" i="8"/>
  <c r="E56" i="8"/>
  <c r="A56" i="8"/>
  <c r="O55" i="8"/>
  <c r="M55" i="8"/>
  <c r="K55" i="8"/>
  <c r="J55" i="8"/>
  <c r="H55" i="8"/>
  <c r="G55" i="8"/>
  <c r="F55" i="8"/>
  <c r="E55" i="8"/>
  <c r="A55" i="8"/>
  <c r="O54" i="8"/>
  <c r="M54" i="8"/>
  <c r="K54" i="8"/>
  <c r="J54" i="8"/>
  <c r="H54" i="8"/>
  <c r="G54" i="8"/>
  <c r="F54" i="8"/>
  <c r="E54" i="8"/>
  <c r="A54" i="8"/>
  <c r="O53" i="8"/>
  <c r="M53" i="8"/>
  <c r="K53" i="8"/>
  <c r="J53" i="8"/>
  <c r="H53" i="8"/>
  <c r="G53" i="8"/>
  <c r="F53" i="8"/>
  <c r="E53" i="8"/>
  <c r="A53" i="8"/>
  <c r="G52" i="8"/>
  <c r="A52" i="8"/>
  <c r="O51" i="8"/>
  <c r="M51" i="8"/>
  <c r="K51" i="8"/>
  <c r="J51" i="8"/>
  <c r="I51" i="8"/>
  <c r="D60" i="7" s="1"/>
  <c r="H51" i="8"/>
  <c r="G51" i="8"/>
  <c r="F51" i="8"/>
  <c r="E51" i="8"/>
  <c r="A51" i="8"/>
  <c r="O50" i="8"/>
  <c r="M50" i="8"/>
  <c r="K50" i="8"/>
  <c r="J50" i="8"/>
  <c r="H50" i="8"/>
  <c r="G50" i="8"/>
  <c r="F50" i="8"/>
  <c r="E50" i="8"/>
  <c r="A50" i="8"/>
  <c r="O49" i="8"/>
  <c r="M49" i="8"/>
  <c r="K49" i="8"/>
  <c r="J49" i="8"/>
  <c r="H49" i="8"/>
  <c r="G49" i="8"/>
  <c r="F49" i="8"/>
  <c r="E49" i="8"/>
  <c r="A49" i="8"/>
  <c r="O48" i="8"/>
  <c r="M48" i="8"/>
  <c r="K48" i="8"/>
  <c r="J48" i="8"/>
  <c r="H48" i="8"/>
  <c r="G48" i="8"/>
  <c r="F48" i="8"/>
  <c r="E48" i="8"/>
  <c r="A48" i="8"/>
  <c r="O47" i="8"/>
  <c r="M47" i="8"/>
  <c r="K47" i="8"/>
  <c r="J47" i="8"/>
  <c r="H47" i="8"/>
  <c r="G47" i="8"/>
  <c r="F47" i="8"/>
  <c r="E47" i="8"/>
  <c r="A47" i="8"/>
  <c r="O46" i="8"/>
  <c r="M46" i="8"/>
  <c r="K46" i="8"/>
  <c r="J46" i="8"/>
  <c r="H46" i="8"/>
  <c r="G46" i="8"/>
  <c r="F46" i="8"/>
  <c r="E46" i="8"/>
  <c r="A46" i="8"/>
  <c r="O45" i="8"/>
  <c r="M45" i="8"/>
  <c r="K45" i="8"/>
  <c r="J45" i="8"/>
  <c r="H45" i="8"/>
  <c r="G45" i="8"/>
  <c r="F45" i="8"/>
  <c r="E45" i="8"/>
  <c r="A45" i="8"/>
  <c r="O44" i="8"/>
  <c r="M44" i="8"/>
  <c r="K44" i="8"/>
  <c r="J44" i="8"/>
  <c r="H44" i="8"/>
  <c r="G44" i="8"/>
  <c r="F44" i="8"/>
  <c r="E44" i="8"/>
  <c r="A44" i="8"/>
  <c r="O43" i="8"/>
  <c r="M43" i="8"/>
  <c r="K43" i="8"/>
  <c r="J43" i="8"/>
  <c r="H43" i="8"/>
  <c r="G43" i="8"/>
  <c r="F43" i="8"/>
  <c r="E43" i="8"/>
  <c r="A43" i="8"/>
  <c r="O42" i="8"/>
  <c r="M42" i="8"/>
  <c r="K42" i="8"/>
  <c r="J42" i="8"/>
  <c r="H42" i="8"/>
  <c r="G42" i="8"/>
  <c r="F42" i="8"/>
  <c r="E42" i="8"/>
  <c r="A42" i="8"/>
  <c r="O41" i="8"/>
  <c r="M41" i="8"/>
  <c r="K41" i="8"/>
  <c r="J41" i="8"/>
  <c r="H41" i="8"/>
  <c r="G41" i="8"/>
  <c r="F41" i="8"/>
  <c r="E41" i="8"/>
  <c r="A41" i="8"/>
  <c r="O40" i="8"/>
  <c r="M40" i="8"/>
  <c r="K40" i="8"/>
  <c r="J40" i="8"/>
  <c r="H40" i="8"/>
  <c r="G40" i="8"/>
  <c r="F40" i="8"/>
  <c r="E40" i="8"/>
  <c r="A40" i="8"/>
  <c r="O39" i="8"/>
  <c r="M39" i="8"/>
  <c r="K39" i="8"/>
  <c r="J39" i="8"/>
  <c r="H39" i="8"/>
  <c r="G39" i="8"/>
  <c r="F39" i="8"/>
  <c r="E39" i="8"/>
  <c r="A39" i="8"/>
  <c r="O38" i="8"/>
  <c r="M38" i="8"/>
  <c r="K38" i="8"/>
  <c r="J38" i="8"/>
  <c r="H38" i="8"/>
  <c r="G38" i="8"/>
  <c r="F38" i="8"/>
  <c r="E38" i="8"/>
  <c r="A38" i="8"/>
  <c r="G37" i="8"/>
  <c r="A37" i="8"/>
  <c r="O36" i="8"/>
  <c r="M36" i="8"/>
  <c r="K36" i="8"/>
  <c r="J36" i="8"/>
  <c r="H36" i="8"/>
  <c r="G36" i="8"/>
  <c r="F36" i="8"/>
  <c r="E36" i="8"/>
  <c r="A36" i="8"/>
  <c r="O35" i="8"/>
  <c r="M35" i="8"/>
  <c r="K35" i="8"/>
  <c r="J35" i="8"/>
  <c r="H35" i="8"/>
  <c r="G35" i="8"/>
  <c r="F35" i="8"/>
  <c r="E35" i="8"/>
  <c r="A35" i="8"/>
  <c r="O34" i="8"/>
  <c r="M34" i="8"/>
  <c r="K34" i="8"/>
  <c r="J34" i="8"/>
  <c r="H34" i="8"/>
  <c r="G34" i="8"/>
  <c r="F34" i="8"/>
  <c r="E34" i="8"/>
  <c r="A34" i="8"/>
  <c r="O33" i="8"/>
  <c r="M33" i="8"/>
  <c r="K33" i="8"/>
  <c r="J33" i="8"/>
  <c r="H33" i="8"/>
  <c r="G33" i="8"/>
  <c r="F33" i="8"/>
  <c r="E33" i="8"/>
  <c r="A33" i="8"/>
  <c r="O32" i="8"/>
  <c r="M32" i="8"/>
  <c r="K32" i="8"/>
  <c r="J32" i="8"/>
  <c r="H32" i="8"/>
  <c r="G32" i="8"/>
  <c r="F32" i="8"/>
  <c r="E32" i="8"/>
  <c r="A32" i="8"/>
  <c r="O31" i="8"/>
  <c r="M31" i="8"/>
  <c r="K31" i="8"/>
  <c r="J31" i="8"/>
  <c r="H31" i="8"/>
  <c r="G31" i="8"/>
  <c r="F31" i="8"/>
  <c r="E31" i="8"/>
  <c r="A31" i="8"/>
  <c r="G30" i="8"/>
  <c r="A30" i="8"/>
  <c r="O29" i="8"/>
  <c r="M29" i="8"/>
  <c r="K29" i="8"/>
  <c r="J29" i="8"/>
  <c r="H29" i="8"/>
  <c r="G29" i="8"/>
  <c r="F29" i="8"/>
  <c r="E29" i="8"/>
  <c r="A29" i="8"/>
  <c r="O28" i="8"/>
  <c r="M28" i="8"/>
  <c r="K28" i="8"/>
  <c r="J28" i="8"/>
  <c r="H28" i="8"/>
  <c r="G28" i="8"/>
  <c r="F28" i="8"/>
  <c r="E28" i="8"/>
  <c r="A28" i="8"/>
  <c r="O27" i="8"/>
  <c r="M27" i="8"/>
  <c r="K27" i="8"/>
  <c r="J27" i="8"/>
  <c r="H27" i="8"/>
  <c r="G27" i="8"/>
  <c r="F27" i="8"/>
  <c r="E27" i="8"/>
  <c r="A27" i="8"/>
  <c r="G26" i="8"/>
  <c r="A26" i="8"/>
  <c r="G25" i="8"/>
  <c r="A25" i="8"/>
  <c r="O24" i="8"/>
  <c r="M24" i="8"/>
  <c r="K24" i="8"/>
  <c r="J24" i="8"/>
  <c r="H24" i="8"/>
  <c r="G24" i="8"/>
  <c r="F24" i="8"/>
  <c r="E24" i="8"/>
  <c r="A24" i="8"/>
  <c r="O23" i="8"/>
  <c r="M23" i="8"/>
  <c r="K23" i="8"/>
  <c r="J23" i="8"/>
  <c r="H23" i="8"/>
  <c r="G23" i="8"/>
  <c r="F23" i="8"/>
  <c r="E23" i="8"/>
  <c r="A23" i="8"/>
  <c r="O22" i="8"/>
  <c r="M22" i="8"/>
  <c r="K22" i="8"/>
  <c r="J22" i="8"/>
  <c r="H22" i="8"/>
  <c r="G22" i="8"/>
  <c r="F22" i="8"/>
  <c r="E22" i="8"/>
  <c r="A22" i="8"/>
  <c r="O21" i="8"/>
  <c r="M21" i="8"/>
  <c r="K21" i="8"/>
  <c r="J21" i="8"/>
  <c r="H21" i="8"/>
  <c r="G21" i="8"/>
  <c r="F21" i="8"/>
  <c r="E21" i="8"/>
  <c r="A21" i="8"/>
  <c r="O20" i="8"/>
  <c r="M20" i="8"/>
  <c r="K20" i="8"/>
  <c r="J20" i="8"/>
  <c r="H20" i="8"/>
  <c r="G20" i="8"/>
  <c r="F20" i="8"/>
  <c r="E20" i="8"/>
  <c r="A20" i="8"/>
  <c r="G19" i="8"/>
  <c r="A19" i="8"/>
  <c r="O18" i="8"/>
  <c r="M18" i="8"/>
  <c r="K18" i="8"/>
  <c r="J18" i="8"/>
  <c r="H18" i="8"/>
  <c r="G18" i="8"/>
  <c r="F18" i="8"/>
  <c r="E18" i="8"/>
  <c r="A18" i="8"/>
  <c r="O17" i="8"/>
  <c r="M17" i="8"/>
  <c r="K17" i="8"/>
  <c r="J17" i="8"/>
  <c r="H17" i="8"/>
  <c r="G17" i="8"/>
  <c r="F17" i="8"/>
  <c r="E17" i="8"/>
  <c r="A17" i="8"/>
  <c r="O16" i="8"/>
  <c r="M16" i="8"/>
  <c r="K16" i="8"/>
  <c r="J16" i="8"/>
  <c r="H16" i="8"/>
  <c r="G16" i="8"/>
  <c r="F16" i="8"/>
  <c r="E16" i="8"/>
  <c r="A16" i="8"/>
  <c r="O15" i="8"/>
  <c r="M15" i="8"/>
  <c r="K15" i="8"/>
  <c r="J15" i="8"/>
  <c r="H15" i="8"/>
  <c r="G15" i="8"/>
  <c r="F15" i="8"/>
  <c r="E15" i="8"/>
  <c r="A15" i="8"/>
  <c r="O14" i="8"/>
  <c r="M14" i="8"/>
  <c r="K14" i="8"/>
  <c r="J14" i="8"/>
  <c r="H14" i="8"/>
  <c r="G14" i="8"/>
  <c r="F14" i="8"/>
  <c r="E14" i="8"/>
  <c r="A14" i="8"/>
  <c r="G13" i="8"/>
  <c r="A13" i="8"/>
  <c r="O12" i="8"/>
  <c r="M12" i="8"/>
  <c r="L12" i="8"/>
  <c r="F14" i="7" s="1"/>
  <c r="K12" i="8"/>
  <c r="J12" i="8"/>
  <c r="I12" i="8"/>
  <c r="D14" i="7" s="1"/>
  <c r="H12" i="8"/>
  <c r="G12" i="8"/>
  <c r="F12" i="8"/>
  <c r="E12" i="8"/>
  <c r="A12" i="8"/>
  <c r="O11" i="8"/>
  <c r="M11" i="8"/>
  <c r="K11" i="8"/>
  <c r="J11" i="8"/>
  <c r="H11" i="8"/>
  <c r="G11" i="8"/>
  <c r="F11" i="8"/>
  <c r="E11" i="8"/>
  <c r="A11" i="8"/>
  <c r="O10" i="8"/>
  <c r="M10" i="8"/>
  <c r="K10" i="8"/>
  <c r="J10" i="8"/>
  <c r="H10" i="8"/>
  <c r="G10" i="8"/>
  <c r="F10" i="8"/>
  <c r="E10" i="8"/>
  <c r="A10" i="8"/>
  <c r="O9" i="8"/>
  <c r="M9" i="8"/>
  <c r="K9" i="8"/>
  <c r="J9" i="8"/>
  <c r="H9" i="8"/>
  <c r="G9" i="8"/>
  <c r="F9" i="8"/>
  <c r="E9" i="8"/>
  <c r="A9" i="8"/>
  <c r="O8" i="8"/>
  <c r="M8" i="8"/>
  <c r="K8" i="8"/>
  <c r="J8" i="8"/>
  <c r="H8" i="8"/>
  <c r="G8" i="8"/>
  <c r="F8" i="8"/>
  <c r="E8" i="8"/>
  <c r="A8" i="8"/>
  <c r="G7" i="8"/>
  <c r="A7" i="8"/>
  <c r="G6" i="8"/>
  <c r="A6" i="8"/>
  <c r="C86" i="6"/>
  <c r="B86" i="6"/>
  <c r="A86" i="6"/>
  <c r="C85" i="6"/>
  <c r="B85" i="6"/>
  <c r="A85" i="6"/>
  <c r="C84" i="6"/>
  <c r="B84" i="6"/>
  <c r="A84" i="6"/>
  <c r="C83" i="6"/>
  <c r="B83" i="6"/>
  <c r="A83" i="6"/>
  <c r="C82" i="6"/>
  <c r="B82" i="6"/>
  <c r="A82" i="6"/>
  <c r="C81" i="6"/>
  <c r="B81" i="6"/>
  <c r="A81" i="6"/>
  <c r="C80" i="6"/>
  <c r="B80" i="6"/>
  <c r="A80" i="6"/>
  <c r="C79" i="6"/>
  <c r="B79" i="6"/>
  <c r="A79" i="6"/>
  <c r="D78" i="6"/>
  <c r="C78" i="6"/>
  <c r="B78" i="6"/>
  <c r="A78" i="6"/>
  <c r="C77" i="6"/>
  <c r="B77" i="6"/>
  <c r="A77" i="6"/>
  <c r="A76" i="6"/>
  <c r="C75" i="6"/>
  <c r="B75" i="6"/>
  <c r="A75" i="6"/>
  <c r="C74" i="6"/>
  <c r="B74" i="6"/>
  <c r="A74" i="6"/>
  <c r="C73" i="6"/>
  <c r="B73" i="6"/>
  <c r="A73" i="6"/>
  <c r="C72" i="6"/>
  <c r="B72" i="6"/>
  <c r="A72" i="6"/>
  <c r="C71" i="6"/>
  <c r="B71" i="6"/>
  <c r="A71" i="6"/>
  <c r="C70" i="6"/>
  <c r="B70" i="6"/>
  <c r="A70" i="6"/>
  <c r="C69" i="6"/>
  <c r="B69" i="6"/>
  <c r="A69" i="6"/>
  <c r="D68" i="6"/>
  <c r="C68" i="6"/>
  <c r="B68" i="6"/>
  <c r="A68" i="6"/>
  <c r="C67" i="6"/>
  <c r="B67" i="6"/>
  <c r="A67" i="6"/>
  <c r="A66" i="6"/>
  <c r="D65" i="6"/>
  <c r="C65" i="6"/>
  <c r="B65" i="6"/>
  <c r="A65" i="6"/>
  <c r="C64" i="6"/>
  <c r="B64" i="6"/>
  <c r="A64" i="6"/>
  <c r="C63" i="6"/>
  <c r="B63" i="6"/>
  <c r="A63" i="6"/>
  <c r="C62" i="6"/>
  <c r="B62" i="6"/>
  <c r="A62" i="6"/>
  <c r="C61" i="6"/>
  <c r="B61" i="6"/>
  <c r="A61" i="6"/>
  <c r="C60" i="6"/>
  <c r="B60" i="6"/>
  <c r="A60" i="6"/>
  <c r="C59" i="6"/>
  <c r="B59" i="6"/>
  <c r="A59" i="6"/>
  <c r="C58" i="6"/>
  <c r="B58" i="6"/>
  <c r="A58" i="6"/>
  <c r="C57" i="6"/>
  <c r="B57" i="6"/>
  <c r="A57" i="6"/>
  <c r="A56" i="6"/>
  <c r="C55" i="6"/>
  <c r="B55" i="6"/>
  <c r="A55" i="6"/>
  <c r="C54" i="6"/>
  <c r="B54" i="6"/>
  <c r="A54" i="6"/>
  <c r="C53" i="6"/>
  <c r="B53" i="6"/>
  <c r="A53" i="6"/>
  <c r="D52" i="6"/>
  <c r="C52" i="6"/>
  <c r="B52" i="6"/>
  <c r="A52" i="6"/>
  <c r="C51" i="6"/>
  <c r="B51" i="6"/>
  <c r="A51" i="6"/>
  <c r="A50" i="6"/>
  <c r="C49" i="6"/>
  <c r="B49" i="6"/>
  <c r="A49" i="6"/>
  <c r="D48" i="6"/>
  <c r="C48" i="6"/>
  <c r="B48" i="6"/>
  <c r="A48" i="6"/>
  <c r="C47" i="6"/>
  <c r="B47" i="6"/>
  <c r="A47" i="6"/>
  <c r="A46" i="6"/>
  <c r="A45" i="6"/>
  <c r="C44" i="6"/>
  <c r="B44" i="6"/>
  <c r="A44" i="6"/>
  <c r="C43" i="6"/>
  <c r="B43" i="6"/>
  <c r="A43" i="6"/>
  <c r="C42" i="6"/>
  <c r="B42" i="6"/>
  <c r="A42" i="6"/>
  <c r="C41" i="6"/>
  <c r="B41" i="6"/>
  <c r="A41" i="6"/>
  <c r="C40" i="6"/>
  <c r="B40" i="6"/>
  <c r="A40" i="6"/>
  <c r="D39" i="6"/>
  <c r="C39" i="6"/>
  <c r="B39" i="6"/>
  <c r="A39" i="6"/>
  <c r="C38" i="6"/>
  <c r="B38" i="6"/>
  <c r="A38" i="6"/>
  <c r="C37" i="6"/>
  <c r="B37" i="6"/>
  <c r="A37" i="6"/>
  <c r="A36" i="6"/>
  <c r="C35" i="6"/>
  <c r="B35" i="6"/>
  <c r="A35" i="6"/>
  <c r="C34" i="6"/>
  <c r="B34" i="6"/>
  <c r="A34" i="6"/>
  <c r="C33" i="6"/>
  <c r="B33" i="6"/>
  <c r="A33" i="6"/>
  <c r="C32" i="6"/>
  <c r="B32" i="6"/>
  <c r="A32" i="6"/>
  <c r="C31" i="6"/>
  <c r="B31" i="6"/>
  <c r="A31" i="6"/>
  <c r="C30" i="6"/>
  <c r="B30" i="6"/>
  <c r="A30" i="6"/>
  <c r="A29" i="6"/>
  <c r="D28" i="6"/>
  <c r="C28" i="6"/>
  <c r="B28" i="6"/>
  <c r="A28" i="6"/>
  <c r="C27" i="6"/>
  <c r="B27" i="6"/>
  <c r="A27" i="6"/>
  <c r="C26" i="6"/>
  <c r="B26" i="6"/>
  <c r="A26" i="6"/>
  <c r="C25" i="6"/>
  <c r="B25" i="6"/>
  <c r="A25" i="6"/>
  <c r="C24" i="6"/>
  <c r="B24" i="6"/>
  <c r="A24" i="6"/>
  <c r="D23" i="6"/>
  <c r="C23" i="6"/>
  <c r="B23" i="6"/>
  <c r="A23" i="6"/>
  <c r="C22" i="6"/>
  <c r="B22" i="6"/>
  <c r="A22" i="6"/>
  <c r="C21" i="6"/>
  <c r="B21" i="6"/>
  <c r="A21" i="6"/>
  <c r="A20" i="6"/>
  <c r="A19" i="6"/>
  <c r="A11" i="6"/>
  <c r="A1" i="6"/>
  <c r="H536" i="5"/>
  <c r="G536" i="5"/>
  <c r="E536" i="5"/>
  <c r="E535" i="5"/>
  <c r="E534" i="5"/>
  <c r="E533" i="5"/>
  <c r="I532" i="5"/>
  <c r="H532" i="5"/>
  <c r="G532" i="5"/>
  <c r="F532" i="5"/>
  <c r="I531" i="5"/>
  <c r="H531" i="5"/>
  <c r="G531" i="5"/>
  <c r="F531" i="5"/>
  <c r="I530" i="5"/>
  <c r="H530" i="5"/>
  <c r="G530" i="5"/>
  <c r="F530" i="5"/>
  <c r="I529" i="5"/>
  <c r="H529" i="5"/>
  <c r="G529" i="5"/>
  <c r="F529" i="5"/>
  <c r="D527" i="5"/>
  <c r="C527" i="5"/>
  <c r="B527" i="5"/>
  <c r="A527" i="5"/>
  <c r="H525" i="5"/>
  <c r="G525" i="5"/>
  <c r="E525" i="5"/>
  <c r="E524" i="5"/>
  <c r="E523" i="5"/>
  <c r="I522" i="5"/>
  <c r="H522" i="5"/>
  <c r="G522" i="5"/>
  <c r="F522" i="5"/>
  <c r="D520" i="5"/>
  <c r="C520" i="5"/>
  <c r="B520" i="5"/>
  <c r="A520" i="5"/>
  <c r="H518" i="5"/>
  <c r="G518" i="5"/>
  <c r="E518" i="5"/>
  <c r="E517" i="5"/>
  <c r="E516" i="5"/>
  <c r="E515" i="5"/>
  <c r="I514" i="5"/>
  <c r="H514" i="5"/>
  <c r="G514" i="5"/>
  <c r="F514" i="5"/>
  <c r="I513" i="5"/>
  <c r="H513" i="5"/>
  <c r="G513" i="5"/>
  <c r="F513" i="5"/>
  <c r="I512" i="5"/>
  <c r="H512" i="5"/>
  <c r="G512" i="5"/>
  <c r="F512" i="5"/>
  <c r="I511" i="5"/>
  <c r="H511" i="5"/>
  <c r="G511" i="5"/>
  <c r="F511" i="5"/>
  <c r="D510" i="5"/>
  <c r="C510" i="5"/>
  <c r="B510" i="5"/>
  <c r="A510" i="5"/>
  <c r="H508" i="5"/>
  <c r="G508" i="5"/>
  <c r="E508" i="5"/>
  <c r="E507" i="5"/>
  <c r="E506" i="5"/>
  <c r="E505" i="5"/>
  <c r="I504" i="5"/>
  <c r="H504" i="5"/>
  <c r="G504" i="5"/>
  <c r="F504" i="5"/>
  <c r="I503" i="5"/>
  <c r="H503" i="5"/>
  <c r="G503" i="5"/>
  <c r="F503" i="5"/>
  <c r="I502" i="5"/>
  <c r="H502" i="5"/>
  <c r="G502" i="5"/>
  <c r="F502" i="5"/>
  <c r="I501" i="5"/>
  <c r="H501" i="5"/>
  <c r="G501" i="5"/>
  <c r="F501" i="5"/>
  <c r="D500" i="5"/>
  <c r="C500" i="5"/>
  <c r="B500" i="5"/>
  <c r="A500" i="5"/>
  <c r="H498" i="5"/>
  <c r="G498" i="5"/>
  <c r="E498" i="5"/>
  <c r="E497" i="5"/>
  <c r="E496" i="5"/>
  <c r="E495" i="5"/>
  <c r="I494" i="5"/>
  <c r="H494" i="5"/>
  <c r="G494" i="5"/>
  <c r="F494" i="5"/>
  <c r="I493" i="5"/>
  <c r="H493" i="5"/>
  <c r="G493" i="5"/>
  <c r="F493" i="5"/>
  <c r="I492" i="5"/>
  <c r="H492" i="5"/>
  <c r="G492" i="5"/>
  <c r="F492" i="5"/>
  <c r="I491" i="5"/>
  <c r="H491" i="5"/>
  <c r="G491" i="5"/>
  <c r="F491" i="5"/>
  <c r="D489" i="5"/>
  <c r="C489" i="5"/>
  <c r="B489" i="5"/>
  <c r="A489" i="5"/>
  <c r="H487" i="5"/>
  <c r="G487" i="5"/>
  <c r="E487" i="5"/>
  <c r="E486" i="5"/>
  <c r="E485" i="5"/>
  <c r="E484" i="5"/>
  <c r="I483" i="5"/>
  <c r="H483" i="5"/>
  <c r="G483" i="5"/>
  <c r="F483" i="5"/>
  <c r="I482" i="5"/>
  <c r="H482" i="5"/>
  <c r="G482" i="5"/>
  <c r="F482" i="5"/>
  <c r="I481" i="5"/>
  <c r="H481" i="5"/>
  <c r="G481" i="5"/>
  <c r="F481" i="5"/>
  <c r="I480" i="5"/>
  <c r="H480" i="5"/>
  <c r="G480" i="5"/>
  <c r="F480" i="5"/>
  <c r="D479" i="5"/>
  <c r="C479" i="5"/>
  <c r="B479" i="5"/>
  <c r="A479" i="5"/>
  <c r="H477" i="5"/>
  <c r="G477" i="5"/>
  <c r="E477" i="5"/>
  <c r="E476" i="5"/>
  <c r="E475" i="5"/>
  <c r="E474" i="5"/>
  <c r="I473" i="5"/>
  <c r="H473" i="5"/>
  <c r="G473" i="5"/>
  <c r="F473" i="5"/>
  <c r="I472" i="5"/>
  <c r="H472" i="5"/>
  <c r="G472" i="5"/>
  <c r="F472" i="5"/>
  <c r="I471" i="5"/>
  <c r="H471" i="5"/>
  <c r="G471" i="5"/>
  <c r="F471" i="5"/>
  <c r="I470" i="5"/>
  <c r="H470" i="5"/>
  <c r="G470" i="5"/>
  <c r="F470" i="5"/>
  <c r="D468" i="5"/>
  <c r="C468" i="5"/>
  <c r="B468" i="5"/>
  <c r="A468" i="5"/>
  <c r="I466" i="5"/>
  <c r="H466" i="5"/>
  <c r="G466" i="5"/>
  <c r="F466" i="5"/>
  <c r="I465" i="5"/>
  <c r="H465" i="5"/>
  <c r="G465" i="5"/>
  <c r="F465" i="5"/>
  <c r="D464" i="5"/>
  <c r="C464" i="5"/>
  <c r="B464" i="5"/>
  <c r="A464" i="5"/>
  <c r="I462" i="5"/>
  <c r="H462" i="5"/>
  <c r="G462" i="5"/>
  <c r="F462" i="5"/>
  <c r="I461" i="5"/>
  <c r="H461" i="5"/>
  <c r="G461" i="5"/>
  <c r="F461" i="5"/>
  <c r="E460" i="5"/>
  <c r="D460" i="5"/>
  <c r="C460" i="5"/>
  <c r="B460" i="5"/>
  <c r="A460" i="5"/>
  <c r="H458" i="5"/>
  <c r="G458" i="5"/>
  <c r="E458" i="5"/>
  <c r="E457" i="5"/>
  <c r="E456" i="5"/>
  <c r="E455" i="5"/>
  <c r="I454" i="5"/>
  <c r="H454" i="5"/>
  <c r="G454" i="5"/>
  <c r="F454" i="5"/>
  <c r="I453" i="5"/>
  <c r="H453" i="5"/>
  <c r="G453" i="5"/>
  <c r="F453" i="5"/>
  <c r="I452" i="5"/>
  <c r="H452" i="5"/>
  <c r="G452" i="5"/>
  <c r="F452" i="5"/>
  <c r="D450" i="5"/>
  <c r="C450" i="5"/>
  <c r="B450" i="5"/>
  <c r="A450" i="5"/>
  <c r="A449" i="5"/>
  <c r="H443" i="5"/>
  <c r="G443" i="5"/>
  <c r="E443" i="5"/>
  <c r="E442" i="5"/>
  <c r="E441" i="5"/>
  <c r="E440" i="5"/>
  <c r="I439" i="5"/>
  <c r="H439" i="5"/>
  <c r="G439" i="5"/>
  <c r="F439" i="5"/>
  <c r="I438" i="5"/>
  <c r="H438" i="5"/>
  <c r="G438" i="5"/>
  <c r="F438" i="5"/>
  <c r="I437" i="5"/>
  <c r="H437" i="5"/>
  <c r="G437" i="5"/>
  <c r="F437" i="5"/>
  <c r="I436" i="5"/>
  <c r="H436" i="5"/>
  <c r="G436" i="5"/>
  <c r="F436" i="5"/>
  <c r="D435" i="5"/>
  <c r="C435" i="5"/>
  <c r="B435" i="5"/>
  <c r="A435" i="5"/>
  <c r="H433" i="5"/>
  <c r="G433" i="5"/>
  <c r="E433" i="5"/>
  <c r="E432" i="5"/>
  <c r="E431" i="5"/>
  <c r="E430" i="5"/>
  <c r="I429" i="5"/>
  <c r="H429" i="5"/>
  <c r="G429" i="5"/>
  <c r="F429" i="5"/>
  <c r="I428" i="5"/>
  <c r="H428" i="5"/>
  <c r="G428" i="5"/>
  <c r="F428" i="5"/>
  <c r="I427" i="5"/>
  <c r="H427" i="5"/>
  <c r="G427" i="5"/>
  <c r="F427" i="5"/>
  <c r="I426" i="5"/>
  <c r="H426" i="5"/>
  <c r="G426" i="5"/>
  <c r="F426" i="5"/>
  <c r="D425" i="5"/>
  <c r="C425" i="5"/>
  <c r="B425" i="5"/>
  <c r="A425" i="5"/>
  <c r="H423" i="5"/>
  <c r="G423" i="5"/>
  <c r="E423" i="5"/>
  <c r="E422" i="5"/>
  <c r="E421" i="5"/>
  <c r="E420" i="5"/>
  <c r="I419" i="5"/>
  <c r="H419" i="5"/>
  <c r="G419" i="5"/>
  <c r="F419" i="5"/>
  <c r="I418" i="5"/>
  <c r="H418" i="5"/>
  <c r="G418" i="5"/>
  <c r="F418" i="5"/>
  <c r="I417" i="5"/>
  <c r="H417" i="5"/>
  <c r="G417" i="5"/>
  <c r="F417" i="5"/>
  <c r="I416" i="5"/>
  <c r="H416" i="5"/>
  <c r="G416" i="5"/>
  <c r="F416" i="5"/>
  <c r="D415" i="5"/>
  <c r="C415" i="5"/>
  <c r="B415" i="5"/>
  <c r="A415" i="5"/>
  <c r="H413" i="5"/>
  <c r="G413" i="5"/>
  <c r="E413" i="5"/>
  <c r="E412" i="5"/>
  <c r="E411" i="5"/>
  <c r="E410" i="5"/>
  <c r="I409" i="5"/>
  <c r="H409" i="5"/>
  <c r="G409" i="5"/>
  <c r="F409" i="5"/>
  <c r="I408" i="5"/>
  <c r="H408" i="5"/>
  <c r="G408" i="5"/>
  <c r="F408" i="5"/>
  <c r="I407" i="5"/>
  <c r="H407" i="5"/>
  <c r="G407" i="5"/>
  <c r="F407" i="5"/>
  <c r="I406" i="5"/>
  <c r="H406" i="5"/>
  <c r="G406" i="5"/>
  <c r="F406" i="5"/>
  <c r="D404" i="5"/>
  <c r="C404" i="5"/>
  <c r="B404" i="5"/>
  <c r="A404" i="5"/>
  <c r="H402" i="5"/>
  <c r="G402" i="5"/>
  <c r="E402" i="5"/>
  <c r="E401" i="5"/>
  <c r="E400" i="5"/>
  <c r="E399" i="5"/>
  <c r="I398" i="5"/>
  <c r="H398" i="5"/>
  <c r="G398" i="5"/>
  <c r="F398" i="5"/>
  <c r="I397" i="5"/>
  <c r="H397" i="5"/>
  <c r="G397" i="5"/>
  <c r="F397" i="5"/>
  <c r="I396" i="5"/>
  <c r="H396" i="5"/>
  <c r="G396" i="5"/>
  <c r="F396" i="5"/>
  <c r="I395" i="5"/>
  <c r="H395" i="5"/>
  <c r="G395" i="5"/>
  <c r="F395" i="5"/>
  <c r="D394" i="5"/>
  <c r="C394" i="5"/>
  <c r="B394" i="5"/>
  <c r="A394" i="5"/>
  <c r="H392" i="5"/>
  <c r="G392" i="5"/>
  <c r="E392" i="5"/>
  <c r="E391" i="5"/>
  <c r="E390" i="5"/>
  <c r="E389" i="5"/>
  <c r="I388" i="5"/>
  <c r="H388" i="5"/>
  <c r="G388" i="5"/>
  <c r="F388" i="5"/>
  <c r="I387" i="5"/>
  <c r="H387" i="5"/>
  <c r="G387" i="5"/>
  <c r="F387" i="5"/>
  <c r="I386" i="5"/>
  <c r="H386" i="5"/>
  <c r="G386" i="5"/>
  <c r="F386" i="5"/>
  <c r="I385" i="5"/>
  <c r="H385" i="5"/>
  <c r="G385" i="5"/>
  <c r="F385" i="5"/>
  <c r="D383" i="5"/>
  <c r="C383" i="5"/>
  <c r="B383" i="5"/>
  <c r="A383" i="5"/>
  <c r="I381" i="5"/>
  <c r="H381" i="5"/>
  <c r="G381" i="5"/>
  <c r="F381" i="5"/>
  <c r="I380" i="5"/>
  <c r="H380" i="5"/>
  <c r="G380" i="5"/>
  <c r="F380" i="5"/>
  <c r="D379" i="5"/>
  <c r="C379" i="5"/>
  <c r="B379" i="5"/>
  <c r="A379" i="5"/>
  <c r="I377" i="5"/>
  <c r="H377" i="5"/>
  <c r="G377" i="5"/>
  <c r="F377" i="5"/>
  <c r="I376" i="5"/>
  <c r="H376" i="5"/>
  <c r="G376" i="5"/>
  <c r="F376" i="5"/>
  <c r="E375" i="5"/>
  <c r="D375" i="5"/>
  <c r="C375" i="5"/>
  <c r="B375" i="5"/>
  <c r="A375" i="5"/>
  <c r="H373" i="5"/>
  <c r="G373" i="5"/>
  <c r="E373" i="5"/>
  <c r="E372" i="5"/>
  <c r="E371" i="5"/>
  <c r="E370" i="5"/>
  <c r="I369" i="5"/>
  <c r="H369" i="5"/>
  <c r="G369" i="5"/>
  <c r="F369" i="5"/>
  <c r="I368" i="5"/>
  <c r="H368" i="5"/>
  <c r="G368" i="5"/>
  <c r="F368" i="5"/>
  <c r="I367" i="5"/>
  <c r="H367" i="5"/>
  <c r="G367" i="5"/>
  <c r="F367" i="5"/>
  <c r="D365" i="5"/>
  <c r="C365" i="5"/>
  <c r="B365" i="5"/>
  <c r="A365" i="5"/>
  <c r="A364" i="5"/>
  <c r="H358" i="5"/>
  <c r="G358" i="5"/>
  <c r="E358" i="5"/>
  <c r="E357" i="5"/>
  <c r="E356" i="5"/>
  <c r="E355" i="5"/>
  <c r="I354" i="5"/>
  <c r="H354" i="5"/>
  <c r="G354" i="5"/>
  <c r="F354" i="5"/>
  <c r="I353" i="5"/>
  <c r="H353" i="5"/>
  <c r="G353" i="5"/>
  <c r="F353" i="5"/>
  <c r="I352" i="5"/>
  <c r="H352" i="5"/>
  <c r="G352" i="5"/>
  <c r="F352" i="5"/>
  <c r="I351" i="5"/>
  <c r="H351" i="5"/>
  <c r="G351" i="5"/>
  <c r="F351" i="5"/>
  <c r="E350" i="5"/>
  <c r="D350" i="5"/>
  <c r="C350" i="5"/>
  <c r="B350" i="5"/>
  <c r="A350" i="5"/>
  <c r="H348" i="5"/>
  <c r="G348" i="5"/>
  <c r="E348" i="5"/>
  <c r="E347" i="5"/>
  <c r="E346" i="5"/>
  <c r="E345" i="5"/>
  <c r="I344" i="5"/>
  <c r="H344" i="5"/>
  <c r="G344" i="5"/>
  <c r="F344" i="5"/>
  <c r="I343" i="5"/>
  <c r="H343" i="5"/>
  <c r="G343" i="5"/>
  <c r="F343" i="5"/>
  <c r="I342" i="5"/>
  <c r="H342" i="5"/>
  <c r="G342" i="5"/>
  <c r="F342" i="5"/>
  <c r="I341" i="5"/>
  <c r="H341" i="5"/>
  <c r="G341" i="5"/>
  <c r="F341" i="5"/>
  <c r="D340" i="5"/>
  <c r="C340" i="5"/>
  <c r="B340" i="5"/>
  <c r="A340" i="5"/>
  <c r="H338" i="5"/>
  <c r="G338" i="5"/>
  <c r="E338" i="5"/>
  <c r="E337" i="5"/>
  <c r="E336" i="5"/>
  <c r="E335" i="5"/>
  <c r="I334" i="5"/>
  <c r="H334" i="5"/>
  <c r="G334" i="5"/>
  <c r="F334" i="5"/>
  <c r="I333" i="5"/>
  <c r="H333" i="5"/>
  <c r="G333" i="5"/>
  <c r="F333" i="5"/>
  <c r="I332" i="5"/>
  <c r="H332" i="5"/>
  <c r="G332" i="5"/>
  <c r="F332" i="5"/>
  <c r="I331" i="5"/>
  <c r="H331" i="5"/>
  <c r="G331" i="5"/>
  <c r="F331" i="5"/>
  <c r="D330" i="5"/>
  <c r="C330" i="5"/>
  <c r="B330" i="5"/>
  <c r="A330" i="5"/>
  <c r="H328" i="5"/>
  <c r="G328" i="5"/>
  <c r="E328" i="5"/>
  <c r="E327" i="5"/>
  <c r="E326" i="5"/>
  <c r="E325" i="5"/>
  <c r="I324" i="5"/>
  <c r="H324" i="5"/>
  <c r="G324" i="5"/>
  <c r="F324" i="5"/>
  <c r="I323" i="5"/>
  <c r="H323" i="5"/>
  <c r="G323" i="5"/>
  <c r="F323" i="5"/>
  <c r="I322" i="5"/>
  <c r="H322" i="5"/>
  <c r="G322" i="5"/>
  <c r="F322" i="5"/>
  <c r="I321" i="5"/>
  <c r="H321" i="5"/>
  <c r="G321" i="5"/>
  <c r="F321" i="5"/>
  <c r="D319" i="5"/>
  <c r="C319" i="5"/>
  <c r="B319" i="5"/>
  <c r="A319" i="5"/>
  <c r="H317" i="5"/>
  <c r="G317" i="5"/>
  <c r="E317" i="5"/>
  <c r="E316" i="5"/>
  <c r="E315" i="5"/>
  <c r="E314" i="5"/>
  <c r="I313" i="5"/>
  <c r="H313" i="5"/>
  <c r="G313" i="5"/>
  <c r="F313" i="5"/>
  <c r="I312" i="5"/>
  <c r="H312" i="5"/>
  <c r="G312" i="5"/>
  <c r="F312" i="5"/>
  <c r="I311" i="5"/>
  <c r="H311" i="5"/>
  <c r="G311" i="5"/>
  <c r="F311" i="5"/>
  <c r="I310" i="5"/>
  <c r="H310" i="5"/>
  <c r="G310" i="5"/>
  <c r="F310" i="5"/>
  <c r="D309" i="5"/>
  <c r="C309" i="5"/>
  <c r="B309" i="5"/>
  <c r="A309" i="5"/>
  <c r="H307" i="5"/>
  <c r="G307" i="5"/>
  <c r="E307" i="5"/>
  <c r="E306" i="5"/>
  <c r="E305" i="5"/>
  <c r="E304" i="5"/>
  <c r="I303" i="5"/>
  <c r="H303" i="5"/>
  <c r="G303" i="5"/>
  <c r="F303" i="5"/>
  <c r="I302" i="5"/>
  <c r="H302" i="5"/>
  <c r="G302" i="5"/>
  <c r="F302" i="5"/>
  <c r="I301" i="5"/>
  <c r="H301" i="5"/>
  <c r="G301" i="5"/>
  <c r="F301" i="5"/>
  <c r="I300" i="5"/>
  <c r="H300" i="5"/>
  <c r="G300" i="5"/>
  <c r="F300" i="5"/>
  <c r="D298" i="5"/>
  <c r="C298" i="5"/>
  <c r="B298" i="5"/>
  <c r="A298" i="5"/>
  <c r="I296" i="5"/>
  <c r="H296" i="5"/>
  <c r="G296" i="5"/>
  <c r="F296" i="5"/>
  <c r="I295" i="5"/>
  <c r="H295" i="5"/>
  <c r="G295" i="5"/>
  <c r="F295" i="5"/>
  <c r="D294" i="5"/>
  <c r="C294" i="5"/>
  <c r="B294" i="5"/>
  <c r="A294" i="5"/>
  <c r="I292" i="5"/>
  <c r="H292" i="5"/>
  <c r="G292" i="5"/>
  <c r="F292" i="5"/>
  <c r="I291" i="5"/>
  <c r="H291" i="5"/>
  <c r="G291" i="5"/>
  <c r="F291" i="5"/>
  <c r="D289" i="5"/>
  <c r="C289" i="5"/>
  <c r="B289" i="5"/>
  <c r="A289" i="5"/>
  <c r="H287" i="5"/>
  <c r="G287" i="5"/>
  <c r="E287" i="5"/>
  <c r="E286" i="5"/>
  <c r="E285" i="5"/>
  <c r="E284" i="5"/>
  <c r="I283" i="5"/>
  <c r="H283" i="5"/>
  <c r="G283" i="5"/>
  <c r="F283" i="5"/>
  <c r="I282" i="5"/>
  <c r="H282" i="5"/>
  <c r="G282" i="5"/>
  <c r="F282" i="5"/>
  <c r="I281" i="5"/>
  <c r="H281" i="5"/>
  <c r="G281" i="5"/>
  <c r="F281" i="5"/>
  <c r="D279" i="5"/>
  <c r="C279" i="5"/>
  <c r="B279" i="5"/>
  <c r="A279" i="5"/>
  <c r="A278" i="5"/>
  <c r="H269" i="5"/>
  <c r="G269" i="5"/>
  <c r="E269" i="5"/>
  <c r="E268" i="5"/>
  <c r="E267" i="5"/>
  <c r="E266" i="5"/>
  <c r="I265" i="5"/>
  <c r="H265" i="5"/>
  <c r="G265" i="5"/>
  <c r="F265" i="5"/>
  <c r="I264" i="5"/>
  <c r="H264" i="5"/>
  <c r="G264" i="5"/>
  <c r="F264" i="5"/>
  <c r="I263" i="5"/>
  <c r="H263" i="5"/>
  <c r="G263" i="5"/>
  <c r="F263" i="5"/>
  <c r="I262" i="5"/>
  <c r="H262" i="5"/>
  <c r="G262" i="5"/>
  <c r="F262" i="5"/>
  <c r="D261" i="5"/>
  <c r="C261" i="5"/>
  <c r="B261" i="5"/>
  <c r="A261" i="5"/>
  <c r="I259" i="5"/>
  <c r="H259" i="5"/>
  <c r="G259" i="5"/>
  <c r="F259" i="5"/>
  <c r="I258" i="5"/>
  <c r="H258" i="5"/>
  <c r="G258" i="5"/>
  <c r="F258" i="5"/>
  <c r="D257" i="5"/>
  <c r="C257" i="5"/>
  <c r="B257" i="5"/>
  <c r="A257" i="5"/>
  <c r="I255" i="5"/>
  <c r="H255" i="5"/>
  <c r="G255" i="5"/>
  <c r="F255" i="5"/>
  <c r="I254" i="5"/>
  <c r="H254" i="5"/>
  <c r="G254" i="5"/>
  <c r="F254" i="5"/>
  <c r="D253" i="5"/>
  <c r="C253" i="5"/>
  <c r="B253" i="5"/>
  <c r="A253" i="5"/>
  <c r="E251" i="5"/>
  <c r="I250" i="5"/>
  <c r="H250" i="5"/>
  <c r="G250" i="5"/>
  <c r="F250" i="5"/>
  <c r="I249" i="5"/>
  <c r="H249" i="5"/>
  <c r="G249" i="5"/>
  <c r="F249" i="5"/>
  <c r="E248" i="5"/>
  <c r="D248" i="5"/>
  <c r="C248" i="5"/>
  <c r="B248" i="5"/>
  <c r="A248" i="5"/>
  <c r="H246" i="5"/>
  <c r="G246" i="5"/>
  <c r="E246" i="5"/>
  <c r="E245" i="5"/>
  <c r="E244" i="5"/>
  <c r="E243" i="5"/>
  <c r="I242" i="5"/>
  <c r="H242" i="5"/>
  <c r="G242" i="5"/>
  <c r="F242" i="5"/>
  <c r="I241" i="5"/>
  <c r="H241" i="5"/>
  <c r="G241" i="5"/>
  <c r="F241" i="5"/>
  <c r="I240" i="5"/>
  <c r="H240" i="5"/>
  <c r="G240" i="5"/>
  <c r="F240" i="5"/>
  <c r="D238" i="5"/>
  <c r="C238" i="5"/>
  <c r="B238" i="5"/>
  <c r="A238" i="5"/>
  <c r="A237" i="5"/>
  <c r="I231" i="5"/>
  <c r="H231" i="5"/>
  <c r="G231" i="5"/>
  <c r="F231" i="5"/>
  <c r="I230" i="5"/>
  <c r="H230" i="5"/>
  <c r="G230" i="5"/>
  <c r="F230" i="5"/>
  <c r="D229" i="5"/>
  <c r="C229" i="5"/>
  <c r="B229" i="5"/>
  <c r="A229" i="5"/>
  <c r="I227" i="5"/>
  <c r="H227" i="5"/>
  <c r="G227" i="5"/>
  <c r="F227" i="5"/>
  <c r="I226" i="5"/>
  <c r="H226" i="5"/>
  <c r="G226" i="5"/>
  <c r="F226" i="5"/>
  <c r="E225" i="5"/>
  <c r="D225" i="5"/>
  <c r="C225" i="5"/>
  <c r="B225" i="5"/>
  <c r="A225" i="5"/>
  <c r="H223" i="5"/>
  <c r="G223" i="5"/>
  <c r="E223" i="5"/>
  <c r="E222" i="5"/>
  <c r="E221" i="5"/>
  <c r="E220" i="5"/>
  <c r="I219" i="5"/>
  <c r="H219" i="5"/>
  <c r="G219" i="5"/>
  <c r="F219" i="5"/>
  <c r="I218" i="5"/>
  <c r="H218" i="5"/>
  <c r="G218" i="5"/>
  <c r="F218" i="5"/>
  <c r="I217" i="5"/>
  <c r="H217" i="5"/>
  <c r="G217" i="5"/>
  <c r="F217" i="5"/>
  <c r="I216" i="5"/>
  <c r="H216" i="5"/>
  <c r="G216" i="5"/>
  <c r="F216" i="5"/>
  <c r="D215" i="5"/>
  <c r="C215" i="5"/>
  <c r="B215" i="5"/>
  <c r="A215" i="5"/>
  <c r="A214" i="5"/>
  <c r="A212" i="5"/>
  <c r="H206" i="5"/>
  <c r="G206" i="5"/>
  <c r="E206" i="5"/>
  <c r="E205" i="5"/>
  <c r="E204" i="5"/>
  <c r="E203" i="5"/>
  <c r="I202" i="5"/>
  <c r="H202" i="5"/>
  <c r="G202" i="5"/>
  <c r="F202" i="5"/>
  <c r="I201" i="5"/>
  <c r="H201" i="5"/>
  <c r="G201" i="5"/>
  <c r="F201" i="5"/>
  <c r="I200" i="5"/>
  <c r="H200" i="5"/>
  <c r="G200" i="5"/>
  <c r="F200" i="5"/>
  <c r="I199" i="5"/>
  <c r="H199" i="5"/>
  <c r="G199" i="5"/>
  <c r="F199" i="5"/>
  <c r="D197" i="5"/>
  <c r="C197" i="5"/>
  <c r="B197" i="5"/>
  <c r="A197" i="5"/>
  <c r="H195" i="5"/>
  <c r="G195" i="5"/>
  <c r="E195" i="5"/>
  <c r="E194" i="5"/>
  <c r="E193" i="5"/>
  <c r="E192" i="5"/>
  <c r="I191" i="5"/>
  <c r="H191" i="5"/>
  <c r="G191" i="5"/>
  <c r="F191" i="5"/>
  <c r="I190" i="5"/>
  <c r="H190" i="5"/>
  <c r="G190" i="5"/>
  <c r="F190" i="5"/>
  <c r="I189" i="5"/>
  <c r="H189" i="5"/>
  <c r="G189" i="5"/>
  <c r="F189" i="5"/>
  <c r="I188" i="5"/>
  <c r="H188" i="5"/>
  <c r="G188" i="5"/>
  <c r="F188" i="5"/>
  <c r="D187" i="5"/>
  <c r="C187" i="5"/>
  <c r="B187" i="5"/>
  <c r="A187" i="5"/>
  <c r="H185" i="5"/>
  <c r="G185" i="5"/>
  <c r="E185" i="5"/>
  <c r="E184" i="5"/>
  <c r="E183" i="5"/>
  <c r="E182" i="5"/>
  <c r="I181" i="5"/>
  <c r="H181" i="5"/>
  <c r="G181" i="5"/>
  <c r="F181" i="5"/>
  <c r="I180" i="5"/>
  <c r="H180" i="5"/>
  <c r="G180" i="5"/>
  <c r="F180" i="5"/>
  <c r="I179" i="5"/>
  <c r="H179" i="5"/>
  <c r="G179" i="5"/>
  <c r="F179" i="5"/>
  <c r="I178" i="5"/>
  <c r="H178" i="5"/>
  <c r="G178" i="5"/>
  <c r="F178" i="5"/>
  <c r="D176" i="5"/>
  <c r="C176" i="5"/>
  <c r="B176" i="5"/>
  <c r="A176" i="5"/>
  <c r="I174" i="5"/>
  <c r="H174" i="5"/>
  <c r="G174" i="5"/>
  <c r="F174" i="5"/>
  <c r="I173" i="5"/>
  <c r="H173" i="5"/>
  <c r="G173" i="5"/>
  <c r="F173" i="5"/>
  <c r="D172" i="5"/>
  <c r="C172" i="5"/>
  <c r="B172" i="5"/>
  <c r="A172" i="5"/>
  <c r="I170" i="5"/>
  <c r="H170" i="5"/>
  <c r="G170" i="5"/>
  <c r="F170" i="5"/>
  <c r="I169" i="5"/>
  <c r="H169" i="5"/>
  <c r="G169" i="5"/>
  <c r="F169" i="5"/>
  <c r="D168" i="5"/>
  <c r="C168" i="5"/>
  <c r="B168" i="5"/>
  <c r="A168" i="5"/>
  <c r="E166" i="5"/>
  <c r="I165" i="5"/>
  <c r="H165" i="5"/>
  <c r="G165" i="5"/>
  <c r="F165" i="5"/>
  <c r="I164" i="5"/>
  <c r="H164" i="5"/>
  <c r="G164" i="5"/>
  <c r="F164" i="5"/>
  <c r="E163" i="5"/>
  <c r="D163" i="5"/>
  <c r="C163" i="5"/>
  <c r="B163" i="5"/>
  <c r="A163" i="5"/>
  <c r="H161" i="5"/>
  <c r="G161" i="5"/>
  <c r="E161" i="5"/>
  <c r="E160" i="5"/>
  <c r="E159" i="5"/>
  <c r="E158" i="5"/>
  <c r="I157" i="5"/>
  <c r="H157" i="5"/>
  <c r="G157" i="5"/>
  <c r="F157" i="5"/>
  <c r="I156" i="5"/>
  <c r="H156" i="5"/>
  <c r="G156" i="5"/>
  <c r="F156" i="5"/>
  <c r="I155" i="5"/>
  <c r="H155" i="5"/>
  <c r="G155" i="5"/>
  <c r="F155" i="5"/>
  <c r="D153" i="5"/>
  <c r="C153" i="5"/>
  <c r="B153" i="5"/>
  <c r="A153" i="5"/>
  <c r="H151" i="5"/>
  <c r="G151" i="5"/>
  <c r="E151" i="5"/>
  <c r="E150" i="5"/>
  <c r="E149" i="5"/>
  <c r="E148" i="5"/>
  <c r="I147" i="5"/>
  <c r="H147" i="5"/>
  <c r="G147" i="5"/>
  <c r="F147" i="5"/>
  <c r="I146" i="5"/>
  <c r="H146" i="5"/>
  <c r="G146" i="5"/>
  <c r="F146" i="5"/>
  <c r="I145" i="5"/>
  <c r="H145" i="5"/>
  <c r="G145" i="5"/>
  <c r="F145" i="5"/>
  <c r="D143" i="5"/>
  <c r="C143" i="5"/>
  <c r="B143" i="5"/>
  <c r="A143" i="5"/>
  <c r="A142" i="5"/>
  <c r="H136" i="5"/>
  <c r="G136" i="5"/>
  <c r="E136" i="5"/>
  <c r="E135" i="5"/>
  <c r="E134" i="5"/>
  <c r="E133" i="5"/>
  <c r="I132" i="5"/>
  <c r="H132" i="5"/>
  <c r="G132" i="5"/>
  <c r="F132" i="5"/>
  <c r="I131" i="5"/>
  <c r="H131" i="5"/>
  <c r="G131" i="5"/>
  <c r="F131" i="5"/>
  <c r="I130" i="5"/>
  <c r="H130" i="5"/>
  <c r="G130" i="5"/>
  <c r="F130" i="5"/>
  <c r="I129" i="5"/>
  <c r="H129" i="5"/>
  <c r="G129" i="5"/>
  <c r="F129" i="5"/>
  <c r="D127" i="5"/>
  <c r="C127" i="5"/>
  <c r="B127" i="5"/>
  <c r="A127" i="5"/>
  <c r="H125" i="5"/>
  <c r="G125" i="5"/>
  <c r="E125" i="5"/>
  <c r="E124" i="5"/>
  <c r="E123" i="5"/>
  <c r="E122" i="5"/>
  <c r="I121" i="5"/>
  <c r="H121" i="5"/>
  <c r="G121" i="5"/>
  <c r="F121" i="5"/>
  <c r="I120" i="5"/>
  <c r="H120" i="5"/>
  <c r="G120" i="5"/>
  <c r="F120" i="5"/>
  <c r="I119" i="5"/>
  <c r="H119" i="5"/>
  <c r="G119" i="5"/>
  <c r="F119" i="5"/>
  <c r="I118" i="5"/>
  <c r="H118" i="5"/>
  <c r="G118" i="5"/>
  <c r="F118" i="5"/>
  <c r="D117" i="5"/>
  <c r="C117" i="5"/>
  <c r="B117" i="5"/>
  <c r="A117" i="5"/>
  <c r="H115" i="5"/>
  <c r="G115" i="5"/>
  <c r="E115" i="5"/>
  <c r="E114" i="5"/>
  <c r="E113" i="5"/>
  <c r="E112" i="5"/>
  <c r="I111" i="5"/>
  <c r="H111" i="5"/>
  <c r="G111" i="5"/>
  <c r="F111" i="5"/>
  <c r="I110" i="5"/>
  <c r="H110" i="5"/>
  <c r="G110" i="5"/>
  <c r="F110" i="5"/>
  <c r="I109" i="5"/>
  <c r="H109" i="5"/>
  <c r="G109" i="5"/>
  <c r="F109" i="5"/>
  <c r="I108" i="5"/>
  <c r="H108" i="5"/>
  <c r="G108" i="5"/>
  <c r="F108" i="5"/>
  <c r="D106" i="5"/>
  <c r="C106" i="5"/>
  <c r="B106" i="5"/>
  <c r="A106" i="5"/>
  <c r="I104" i="5"/>
  <c r="H104" i="5"/>
  <c r="G104" i="5"/>
  <c r="F104" i="5"/>
  <c r="I103" i="5"/>
  <c r="H103" i="5"/>
  <c r="G103" i="5"/>
  <c r="F103" i="5"/>
  <c r="D102" i="5"/>
  <c r="C102" i="5"/>
  <c r="B102" i="5"/>
  <c r="A102" i="5"/>
  <c r="I100" i="5"/>
  <c r="H100" i="5"/>
  <c r="G100" i="5"/>
  <c r="F100" i="5"/>
  <c r="I99" i="5"/>
  <c r="H99" i="5"/>
  <c r="G99" i="5"/>
  <c r="F99" i="5"/>
  <c r="D97" i="5"/>
  <c r="C97" i="5"/>
  <c r="B97" i="5"/>
  <c r="A97" i="5"/>
  <c r="H95" i="5"/>
  <c r="G95" i="5"/>
  <c r="E95" i="5"/>
  <c r="E94" i="5"/>
  <c r="E93" i="5"/>
  <c r="E92" i="5"/>
  <c r="I91" i="5"/>
  <c r="H91" i="5"/>
  <c r="G91" i="5"/>
  <c r="F91" i="5"/>
  <c r="I90" i="5"/>
  <c r="H90" i="5"/>
  <c r="G90" i="5"/>
  <c r="F90" i="5"/>
  <c r="I89" i="5"/>
  <c r="H89" i="5"/>
  <c r="G89" i="5"/>
  <c r="F89" i="5"/>
  <c r="D87" i="5"/>
  <c r="C87" i="5"/>
  <c r="B87" i="5"/>
  <c r="A87" i="5"/>
  <c r="A86" i="5"/>
  <c r="H80" i="5"/>
  <c r="G80" i="5"/>
  <c r="E80" i="5"/>
  <c r="E79" i="5"/>
  <c r="E78" i="5"/>
  <c r="E77" i="5"/>
  <c r="I76" i="5"/>
  <c r="H76" i="5"/>
  <c r="G76" i="5"/>
  <c r="F76" i="5"/>
  <c r="I75" i="5"/>
  <c r="H75" i="5"/>
  <c r="G75" i="5"/>
  <c r="F75" i="5"/>
  <c r="I74" i="5"/>
  <c r="H74" i="5"/>
  <c r="G74" i="5"/>
  <c r="F74" i="5"/>
  <c r="I73" i="5"/>
  <c r="H73" i="5"/>
  <c r="G73" i="5"/>
  <c r="F73" i="5"/>
  <c r="E72" i="5"/>
  <c r="D72" i="5"/>
  <c r="C72" i="5"/>
  <c r="B72" i="5"/>
  <c r="A72" i="5"/>
  <c r="H70" i="5"/>
  <c r="G70" i="5"/>
  <c r="E70" i="5"/>
  <c r="E69" i="5"/>
  <c r="E68" i="5"/>
  <c r="E67" i="5"/>
  <c r="I66" i="5"/>
  <c r="H66" i="5"/>
  <c r="G66" i="5"/>
  <c r="F66" i="5"/>
  <c r="I65" i="5"/>
  <c r="H65" i="5"/>
  <c r="G65" i="5"/>
  <c r="F65" i="5"/>
  <c r="I64" i="5"/>
  <c r="H64" i="5"/>
  <c r="G64" i="5"/>
  <c r="F64" i="5"/>
  <c r="I63" i="5"/>
  <c r="H63" i="5"/>
  <c r="G63" i="5"/>
  <c r="F63" i="5"/>
  <c r="D62" i="5"/>
  <c r="C62" i="5"/>
  <c r="B62" i="5"/>
  <c r="A62" i="5"/>
  <c r="H60" i="5"/>
  <c r="G60" i="5"/>
  <c r="E60" i="5"/>
  <c r="E59" i="5"/>
  <c r="E58" i="5"/>
  <c r="E57" i="5"/>
  <c r="I56" i="5"/>
  <c r="H56" i="5"/>
  <c r="G56" i="5"/>
  <c r="F56" i="5"/>
  <c r="I55" i="5"/>
  <c r="H55" i="5"/>
  <c r="G55" i="5"/>
  <c r="F55" i="5"/>
  <c r="I54" i="5"/>
  <c r="H54" i="5"/>
  <c r="G54" i="5"/>
  <c r="F54" i="5"/>
  <c r="I53" i="5"/>
  <c r="H53" i="5"/>
  <c r="G53" i="5"/>
  <c r="F53" i="5"/>
  <c r="D51" i="5"/>
  <c r="C51" i="5"/>
  <c r="B51" i="5"/>
  <c r="A51" i="5"/>
  <c r="I49" i="5"/>
  <c r="H49" i="5"/>
  <c r="G49" i="5"/>
  <c r="F49" i="5"/>
  <c r="I48" i="5"/>
  <c r="H48" i="5"/>
  <c r="G48" i="5"/>
  <c r="F48" i="5"/>
  <c r="D47" i="5"/>
  <c r="C47" i="5"/>
  <c r="B47" i="5"/>
  <c r="A47" i="5"/>
  <c r="I45" i="5"/>
  <c r="H45" i="5"/>
  <c r="G45" i="5"/>
  <c r="F45" i="5"/>
  <c r="I44" i="5"/>
  <c r="H44" i="5"/>
  <c r="G44" i="5"/>
  <c r="F44" i="5"/>
  <c r="D43" i="5"/>
  <c r="C43" i="5"/>
  <c r="B43" i="5"/>
  <c r="A43" i="5"/>
  <c r="E41" i="5"/>
  <c r="I40" i="5"/>
  <c r="H40" i="5"/>
  <c r="G40" i="5"/>
  <c r="F40" i="5"/>
  <c r="I39" i="5"/>
  <c r="H39" i="5"/>
  <c r="G39" i="5"/>
  <c r="F39" i="5"/>
  <c r="E38" i="5"/>
  <c r="D38" i="5"/>
  <c r="C38" i="5"/>
  <c r="B38" i="5"/>
  <c r="A38" i="5"/>
  <c r="H36" i="5"/>
  <c r="G36" i="5"/>
  <c r="E36" i="5"/>
  <c r="E35" i="5"/>
  <c r="E34" i="5"/>
  <c r="E33" i="5"/>
  <c r="I32" i="5"/>
  <c r="H32" i="5"/>
  <c r="G32" i="5"/>
  <c r="F32" i="5"/>
  <c r="I31" i="5"/>
  <c r="H31" i="5"/>
  <c r="G31" i="5"/>
  <c r="F31" i="5"/>
  <c r="I30" i="5"/>
  <c r="H30" i="5"/>
  <c r="G30" i="5"/>
  <c r="F30" i="5"/>
  <c r="D28" i="5"/>
  <c r="C28" i="5"/>
  <c r="B28" i="5"/>
  <c r="A28" i="5"/>
  <c r="H26" i="5"/>
  <c r="G26" i="5"/>
  <c r="E26" i="5"/>
  <c r="E25" i="5"/>
  <c r="E24" i="5"/>
  <c r="E23" i="5"/>
  <c r="I22" i="5"/>
  <c r="H22" i="5"/>
  <c r="G22" i="5"/>
  <c r="F22" i="5"/>
  <c r="I21" i="5"/>
  <c r="H21" i="5"/>
  <c r="G21" i="5"/>
  <c r="F21" i="5"/>
  <c r="I20" i="5"/>
  <c r="H20" i="5"/>
  <c r="G20" i="5"/>
  <c r="F20" i="5"/>
  <c r="D18" i="5"/>
  <c r="C18" i="5"/>
  <c r="B18" i="5"/>
  <c r="A18" i="5"/>
  <c r="A17" i="5"/>
  <c r="A16" i="5"/>
  <c r="A9" i="5"/>
  <c r="A1" i="5"/>
  <c r="L51" i="8" l="1"/>
  <c r="F60" i="7" s="1"/>
  <c r="N12" i="8"/>
  <c r="H14" i="7" s="1"/>
  <c r="N51" i="8"/>
  <c r="H60" i="7" s="1"/>
  <c r="G85" i="7"/>
  <c r="G82" i="7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1" i="3"/>
  <c r="CY1" i="3"/>
  <c r="CZ1" i="3"/>
  <c r="DA1" i="3"/>
  <c r="A2" i="3"/>
  <c r="CY2" i="3"/>
  <c r="CZ2" i="3"/>
  <c r="DA2" i="3"/>
  <c r="A3" i="3"/>
  <c r="CY3" i="3"/>
  <c r="CZ3" i="3"/>
  <c r="DA3" i="3"/>
  <c r="A4" i="3"/>
  <c r="CY4" i="3"/>
  <c r="CZ4" i="3"/>
  <c r="DA4" i="3"/>
  <c r="A5" i="3"/>
  <c r="CY5" i="3"/>
  <c r="CZ5" i="3"/>
  <c r="DA5" i="3"/>
  <c r="A6" i="3"/>
  <c r="CY6" i="3"/>
  <c r="CZ6" i="3"/>
  <c r="DA6" i="3"/>
  <c r="A7" i="3"/>
  <c r="CY7" i="3"/>
  <c r="CZ7" i="3"/>
  <c r="DA7" i="3"/>
  <c r="A8" i="3"/>
  <c r="CX8" i="3"/>
  <c r="CY8" i="3"/>
  <c r="CZ8" i="3"/>
  <c r="DA8" i="3"/>
  <c r="A9" i="3"/>
  <c r="CY9" i="3"/>
  <c r="CZ9" i="3"/>
  <c r="DA9" i="3"/>
  <c r="A10" i="3"/>
  <c r="CY10" i="3"/>
  <c r="CZ10" i="3"/>
  <c r="DA10" i="3"/>
  <c r="A11" i="3"/>
  <c r="CY11" i="3"/>
  <c r="CZ11" i="3"/>
  <c r="DA11" i="3"/>
  <c r="A12" i="3"/>
  <c r="CY12" i="3"/>
  <c r="CZ12" i="3"/>
  <c r="DA12" i="3"/>
  <c r="A13" i="3"/>
  <c r="CY13" i="3"/>
  <c r="CZ13" i="3"/>
  <c r="DA13" i="3"/>
  <c r="A14" i="3"/>
  <c r="CY14" i="3"/>
  <c r="CZ14" i="3"/>
  <c r="DA14" i="3"/>
  <c r="A15" i="3"/>
  <c r="CY15" i="3"/>
  <c r="CZ15" i="3"/>
  <c r="DA15" i="3"/>
  <c r="A16" i="3"/>
  <c r="CY16" i="3"/>
  <c r="CZ16" i="3"/>
  <c r="DA16" i="3"/>
  <c r="A17" i="3"/>
  <c r="CY17" i="3"/>
  <c r="CZ17" i="3"/>
  <c r="DA17" i="3"/>
  <c r="A18" i="3"/>
  <c r="CY18" i="3"/>
  <c r="CZ18" i="3"/>
  <c r="DA18" i="3"/>
  <c r="A19" i="3"/>
  <c r="CY19" i="3"/>
  <c r="CZ19" i="3"/>
  <c r="DA19" i="3"/>
  <c r="A20" i="3"/>
  <c r="CY20" i="3"/>
  <c r="CZ20" i="3"/>
  <c r="DA20" i="3"/>
  <c r="A21" i="3"/>
  <c r="CY21" i="3"/>
  <c r="CZ21" i="3"/>
  <c r="DA21" i="3"/>
  <c r="A22" i="3"/>
  <c r="CY22" i="3"/>
  <c r="CZ22" i="3"/>
  <c r="DA22" i="3"/>
  <c r="A23" i="3"/>
  <c r="CY23" i="3"/>
  <c r="CZ23" i="3"/>
  <c r="DA23" i="3"/>
  <c r="A24" i="3"/>
  <c r="CY24" i="3"/>
  <c r="CZ24" i="3"/>
  <c r="DA24" i="3"/>
  <c r="A25" i="3"/>
  <c r="CY25" i="3"/>
  <c r="CZ25" i="3"/>
  <c r="DA25" i="3"/>
  <c r="A26" i="3"/>
  <c r="CY26" i="3"/>
  <c r="CZ26" i="3"/>
  <c r="DA26" i="3"/>
  <c r="A27" i="3"/>
  <c r="CY27" i="3"/>
  <c r="CZ27" i="3"/>
  <c r="DA27" i="3"/>
  <c r="A28" i="3"/>
  <c r="CY28" i="3"/>
  <c r="CZ28" i="3"/>
  <c r="DA28" i="3"/>
  <c r="A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Y34" i="3"/>
  <c r="CZ34" i="3"/>
  <c r="DA34" i="3"/>
  <c r="A35" i="3"/>
  <c r="CY35" i="3"/>
  <c r="CZ35" i="3"/>
  <c r="DA35" i="3"/>
  <c r="A36" i="3"/>
  <c r="CY36" i="3"/>
  <c r="CZ36" i="3"/>
  <c r="DA36" i="3"/>
  <c r="A37" i="3"/>
  <c r="CY37" i="3"/>
  <c r="CZ37" i="3"/>
  <c r="DA37" i="3"/>
  <c r="A38" i="3"/>
  <c r="CY38" i="3"/>
  <c r="CZ38" i="3"/>
  <c r="DA38" i="3"/>
  <c r="A39" i="3"/>
  <c r="CY39" i="3"/>
  <c r="CZ39" i="3"/>
  <c r="DA39" i="3"/>
  <c r="A40" i="3"/>
  <c r="CY40" i="3"/>
  <c r="CZ40" i="3"/>
  <c r="DA40" i="3"/>
  <c r="A41" i="3"/>
  <c r="CY41" i="3"/>
  <c r="CZ41" i="3"/>
  <c r="DA41" i="3"/>
  <c r="A42" i="3"/>
  <c r="CY42" i="3"/>
  <c r="CZ42" i="3"/>
  <c r="DA42" i="3"/>
  <c r="A43" i="3"/>
  <c r="CY43" i="3"/>
  <c r="CZ43" i="3"/>
  <c r="DA43" i="3"/>
  <c r="A44" i="3"/>
  <c r="CY44" i="3"/>
  <c r="CZ44" i="3"/>
  <c r="DA44" i="3"/>
  <c r="A45" i="3"/>
  <c r="CY45" i="3"/>
  <c r="CZ45" i="3"/>
  <c r="DA45" i="3"/>
  <c r="A46" i="3"/>
  <c r="CY46" i="3"/>
  <c r="CZ46" i="3"/>
  <c r="DA46" i="3"/>
  <c r="A47" i="3"/>
  <c r="CY47" i="3"/>
  <c r="CZ47" i="3"/>
  <c r="DA47" i="3"/>
  <c r="A48" i="3"/>
  <c r="CY48" i="3"/>
  <c r="CZ48" i="3"/>
  <c r="DA48" i="3"/>
  <c r="A49" i="3"/>
  <c r="CY49" i="3"/>
  <c r="CZ49" i="3"/>
  <c r="DA49" i="3"/>
  <c r="A50" i="3"/>
  <c r="CY50" i="3"/>
  <c r="CZ50" i="3"/>
  <c r="DA50" i="3"/>
  <c r="A51" i="3"/>
  <c r="CY51" i="3"/>
  <c r="CZ51" i="3"/>
  <c r="DA51" i="3"/>
  <c r="A52" i="3"/>
  <c r="CY52" i="3"/>
  <c r="CZ52" i="3"/>
  <c r="DA52" i="3"/>
  <c r="A53" i="3"/>
  <c r="CY53" i="3"/>
  <c r="CZ53" i="3"/>
  <c r="DA53" i="3"/>
  <c r="A54" i="3"/>
  <c r="CY54" i="3"/>
  <c r="CZ54" i="3"/>
  <c r="DA54" i="3"/>
  <c r="A55" i="3"/>
  <c r="CY55" i="3"/>
  <c r="CZ55" i="3"/>
  <c r="DA55" i="3"/>
  <c r="A56" i="3"/>
  <c r="CY56" i="3"/>
  <c r="CZ56" i="3"/>
  <c r="DA56" i="3"/>
  <c r="A57" i="3"/>
  <c r="CY57" i="3"/>
  <c r="CZ57" i="3"/>
  <c r="DA57" i="3"/>
  <c r="A58" i="3"/>
  <c r="CY58" i="3"/>
  <c r="CZ58" i="3"/>
  <c r="DA58" i="3"/>
  <c r="A59" i="3"/>
  <c r="CY59" i="3"/>
  <c r="CZ59" i="3"/>
  <c r="DA59" i="3"/>
  <c r="A60" i="3"/>
  <c r="CY60" i="3"/>
  <c r="CZ60" i="3"/>
  <c r="DA60" i="3"/>
  <c r="A61" i="3"/>
  <c r="CY61" i="3"/>
  <c r="CZ61" i="3"/>
  <c r="DA61" i="3"/>
  <c r="A62" i="3"/>
  <c r="CY62" i="3"/>
  <c r="CZ62" i="3"/>
  <c r="DA62" i="3"/>
  <c r="A63" i="3"/>
  <c r="CY63" i="3"/>
  <c r="CZ63" i="3"/>
  <c r="DA63" i="3"/>
  <c r="A64" i="3"/>
  <c r="CY64" i="3"/>
  <c r="CZ64" i="3"/>
  <c r="DA64" i="3"/>
  <c r="A65" i="3"/>
  <c r="CY65" i="3"/>
  <c r="CZ65" i="3"/>
  <c r="DA65" i="3"/>
  <c r="A66" i="3"/>
  <c r="CY66" i="3"/>
  <c r="CZ66" i="3"/>
  <c r="DA66" i="3"/>
  <c r="A67" i="3"/>
  <c r="CX67" i="3"/>
  <c r="CY67" i="3"/>
  <c r="CZ67" i="3"/>
  <c r="DA67" i="3"/>
  <c r="A68" i="3"/>
  <c r="CY68" i="3"/>
  <c r="CZ68" i="3"/>
  <c r="DA68" i="3"/>
  <c r="A69" i="3"/>
  <c r="CY69" i="3"/>
  <c r="CZ69" i="3"/>
  <c r="DA69" i="3"/>
  <c r="A70" i="3"/>
  <c r="CY70" i="3"/>
  <c r="CZ70" i="3"/>
  <c r="DA70" i="3"/>
  <c r="A71" i="3"/>
  <c r="CY71" i="3"/>
  <c r="CZ71" i="3"/>
  <c r="DA71" i="3"/>
  <c r="A72" i="3"/>
  <c r="CY72" i="3"/>
  <c r="CZ72" i="3"/>
  <c r="DA72" i="3"/>
  <c r="A73" i="3"/>
  <c r="CY73" i="3"/>
  <c r="CZ73" i="3"/>
  <c r="DA73" i="3"/>
  <c r="A74" i="3"/>
  <c r="CY74" i="3"/>
  <c r="CZ74" i="3"/>
  <c r="DA74" i="3"/>
  <c r="A75" i="3"/>
  <c r="CY75" i="3"/>
  <c r="CZ75" i="3"/>
  <c r="DA75" i="3"/>
  <c r="A76" i="3"/>
  <c r="CY76" i="3"/>
  <c r="CZ76" i="3"/>
  <c r="DA76" i="3"/>
  <c r="A77" i="3"/>
  <c r="CY77" i="3"/>
  <c r="CZ77" i="3"/>
  <c r="DA77" i="3"/>
  <c r="A78" i="3"/>
  <c r="CY78" i="3"/>
  <c r="CZ78" i="3"/>
  <c r="DA78" i="3"/>
  <c r="A79" i="3"/>
  <c r="CY79" i="3"/>
  <c r="CZ79" i="3"/>
  <c r="DA79" i="3"/>
  <c r="A80" i="3"/>
  <c r="CY80" i="3"/>
  <c r="CZ80" i="3"/>
  <c r="DA80" i="3"/>
  <c r="A81" i="3"/>
  <c r="CY81" i="3"/>
  <c r="CZ81" i="3"/>
  <c r="DA81" i="3"/>
  <c r="A82" i="3"/>
  <c r="CY82" i="3"/>
  <c r="CZ82" i="3"/>
  <c r="DA82" i="3"/>
  <c r="A83" i="3"/>
  <c r="CY83" i="3"/>
  <c r="CZ83" i="3"/>
  <c r="DA83" i="3"/>
  <c r="A84" i="3"/>
  <c r="CY84" i="3"/>
  <c r="CZ84" i="3"/>
  <c r="DA84" i="3"/>
  <c r="A85" i="3"/>
  <c r="CY85" i="3"/>
  <c r="CZ85" i="3"/>
  <c r="DA85" i="3"/>
  <c r="A86" i="3"/>
  <c r="CY86" i="3"/>
  <c r="CZ86" i="3"/>
  <c r="DA86" i="3"/>
  <c r="A87" i="3"/>
  <c r="CY87" i="3"/>
  <c r="CZ87" i="3"/>
  <c r="DA87" i="3"/>
  <c r="A88" i="3"/>
  <c r="CY88" i="3"/>
  <c r="CZ88" i="3"/>
  <c r="DA88" i="3"/>
  <c r="A89" i="3"/>
  <c r="CY89" i="3"/>
  <c r="CZ89" i="3"/>
  <c r="DA89" i="3"/>
  <c r="A90" i="3"/>
  <c r="CY90" i="3"/>
  <c r="CZ90" i="3"/>
  <c r="DA90" i="3"/>
  <c r="A91" i="3"/>
  <c r="CY91" i="3"/>
  <c r="CZ91" i="3"/>
  <c r="DA91" i="3"/>
  <c r="A92" i="3"/>
  <c r="CY92" i="3"/>
  <c r="CZ92" i="3"/>
  <c r="DA92" i="3"/>
  <c r="A93" i="3"/>
  <c r="CY93" i="3"/>
  <c r="CZ93" i="3"/>
  <c r="DA93" i="3"/>
  <c r="A94" i="3"/>
  <c r="CY94" i="3"/>
  <c r="CZ94" i="3"/>
  <c r="DA94" i="3"/>
  <c r="A95" i="3"/>
  <c r="CY95" i="3"/>
  <c r="CZ95" i="3"/>
  <c r="DA95" i="3"/>
  <c r="A96" i="3"/>
  <c r="CY96" i="3"/>
  <c r="CZ96" i="3"/>
  <c r="DA96" i="3"/>
  <c r="A97" i="3"/>
  <c r="CY97" i="3"/>
  <c r="CZ97" i="3"/>
  <c r="DA97" i="3"/>
  <c r="A98" i="3"/>
  <c r="CY98" i="3"/>
  <c r="CZ98" i="3"/>
  <c r="DA98" i="3"/>
  <c r="A99" i="3"/>
  <c r="CY99" i="3"/>
  <c r="CZ99" i="3"/>
  <c r="DA99" i="3"/>
  <c r="A100" i="3"/>
  <c r="CY100" i="3"/>
  <c r="CZ100" i="3"/>
  <c r="DA100" i="3"/>
  <c r="A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Y104" i="3"/>
  <c r="CZ104" i="3"/>
  <c r="DA104" i="3"/>
  <c r="A105" i="3"/>
  <c r="CY105" i="3"/>
  <c r="CZ105" i="3"/>
  <c r="DA105" i="3"/>
  <c r="A106" i="3"/>
  <c r="CY106" i="3"/>
  <c r="CZ106" i="3"/>
  <c r="DA106" i="3"/>
  <c r="A107" i="3"/>
  <c r="CY107" i="3"/>
  <c r="CZ107" i="3"/>
  <c r="DA107" i="3"/>
  <c r="A108" i="3"/>
  <c r="CY108" i="3"/>
  <c r="CZ108" i="3"/>
  <c r="DA108" i="3"/>
  <c r="A109" i="3"/>
  <c r="CY109" i="3"/>
  <c r="CZ109" i="3"/>
  <c r="DA109" i="3"/>
  <c r="A110" i="3"/>
  <c r="CY110" i="3"/>
  <c r="CZ110" i="3"/>
  <c r="DA110" i="3"/>
  <c r="A111" i="3"/>
  <c r="CX111" i="3"/>
  <c r="CY111" i="3"/>
  <c r="CZ111" i="3"/>
  <c r="DA111" i="3"/>
  <c r="A112" i="3"/>
  <c r="CY112" i="3"/>
  <c r="CZ112" i="3"/>
  <c r="DA112" i="3"/>
  <c r="A113" i="3"/>
  <c r="CY113" i="3"/>
  <c r="CZ113" i="3"/>
  <c r="DA113" i="3"/>
  <c r="A114" i="3"/>
  <c r="CY114" i="3"/>
  <c r="CZ114" i="3"/>
  <c r="DA114" i="3"/>
  <c r="A115" i="3"/>
  <c r="CY115" i="3"/>
  <c r="CZ115" i="3"/>
  <c r="DA115" i="3"/>
  <c r="A116" i="3"/>
  <c r="CY116" i="3"/>
  <c r="CZ116" i="3"/>
  <c r="DA116" i="3"/>
  <c r="A117" i="3"/>
  <c r="CY117" i="3"/>
  <c r="CZ117" i="3"/>
  <c r="DA117" i="3"/>
  <c r="A118" i="3"/>
  <c r="CY118" i="3"/>
  <c r="CZ118" i="3"/>
  <c r="DA118" i="3"/>
  <c r="A119" i="3"/>
  <c r="CY119" i="3"/>
  <c r="CZ119" i="3"/>
  <c r="DA119" i="3"/>
  <c r="A120" i="3"/>
  <c r="CY120" i="3"/>
  <c r="CZ120" i="3"/>
  <c r="DA120" i="3"/>
  <c r="A121" i="3"/>
  <c r="CY121" i="3"/>
  <c r="CZ121" i="3"/>
  <c r="DA121" i="3"/>
  <c r="A122" i="3"/>
  <c r="CY122" i="3"/>
  <c r="CZ122" i="3"/>
  <c r="DA122" i="3"/>
  <c r="A123" i="3"/>
  <c r="CY123" i="3"/>
  <c r="CZ123" i="3"/>
  <c r="DA123" i="3"/>
  <c r="A124" i="3"/>
  <c r="CY124" i="3"/>
  <c r="CZ124" i="3"/>
  <c r="DA124" i="3"/>
  <c r="A125" i="3"/>
  <c r="CY125" i="3"/>
  <c r="CZ125" i="3"/>
  <c r="DA125" i="3"/>
  <c r="A126" i="3"/>
  <c r="CY126" i="3"/>
  <c r="CZ126" i="3"/>
  <c r="DA126" i="3"/>
  <c r="A127" i="3"/>
  <c r="CY127" i="3"/>
  <c r="CZ127" i="3"/>
  <c r="DA127" i="3"/>
  <c r="A128" i="3"/>
  <c r="CY128" i="3"/>
  <c r="CZ128" i="3"/>
  <c r="DA128" i="3"/>
  <c r="A129" i="3"/>
  <c r="CY129" i="3"/>
  <c r="CZ129" i="3"/>
  <c r="DA129" i="3"/>
  <c r="A130" i="3"/>
  <c r="CY130" i="3"/>
  <c r="CZ130" i="3"/>
  <c r="DA130" i="3"/>
  <c r="A131" i="3"/>
  <c r="CY131" i="3"/>
  <c r="CZ131" i="3"/>
  <c r="DA131" i="3"/>
  <c r="A132" i="3"/>
  <c r="CY132" i="3"/>
  <c r="CZ132" i="3"/>
  <c r="DA132" i="3"/>
  <c r="A133" i="3"/>
  <c r="CY133" i="3"/>
  <c r="CZ133" i="3"/>
  <c r="DA133" i="3"/>
  <c r="A134" i="3"/>
  <c r="CY134" i="3"/>
  <c r="CZ134" i="3"/>
  <c r="DA134" i="3"/>
  <c r="A135" i="3"/>
  <c r="CY135" i="3"/>
  <c r="CZ135" i="3"/>
  <c r="DA135" i="3"/>
  <c r="A136" i="3"/>
  <c r="CY136" i="3"/>
  <c r="CZ136" i="3"/>
  <c r="DA136" i="3"/>
  <c r="A137" i="3"/>
  <c r="CY137" i="3"/>
  <c r="CZ137" i="3"/>
  <c r="DA137" i="3"/>
  <c r="A138" i="3"/>
  <c r="CY138" i="3"/>
  <c r="CZ138" i="3"/>
  <c r="DA138" i="3"/>
  <c r="A139" i="3"/>
  <c r="CY139" i="3"/>
  <c r="CZ139" i="3"/>
  <c r="DA139" i="3"/>
  <c r="A140" i="3"/>
  <c r="CY140" i="3"/>
  <c r="CZ140" i="3"/>
  <c r="DA140" i="3"/>
  <c r="A141" i="3"/>
  <c r="CY141" i="3"/>
  <c r="CZ141" i="3"/>
  <c r="DA141" i="3"/>
  <c r="A142" i="3"/>
  <c r="CY142" i="3"/>
  <c r="CZ142" i="3"/>
  <c r="DA142" i="3"/>
  <c r="A143" i="3"/>
  <c r="CY143" i="3"/>
  <c r="CZ143" i="3"/>
  <c r="DA143" i="3"/>
  <c r="A144" i="3"/>
  <c r="CY144" i="3"/>
  <c r="CZ144" i="3"/>
  <c r="DA144" i="3"/>
  <c r="A145" i="3"/>
  <c r="CY145" i="3"/>
  <c r="CZ145" i="3"/>
  <c r="DA145" i="3"/>
  <c r="A146" i="3"/>
  <c r="CY146" i="3"/>
  <c r="CZ146" i="3"/>
  <c r="DA146" i="3"/>
  <c r="A147" i="3"/>
  <c r="CY147" i="3"/>
  <c r="CZ147" i="3"/>
  <c r="DA147" i="3"/>
  <c r="A148" i="3"/>
  <c r="CY148" i="3"/>
  <c r="CZ148" i="3"/>
  <c r="DA148" i="3"/>
  <c r="A149" i="3"/>
  <c r="CY149" i="3"/>
  <c r="CZ149" i="3"/>
  <c r="DA149" i="3"/>
  <c r="A150" i="3"/>
  <c r="CY150" i="3"/>
  <c r="CZ150" i="3"/>
  <c r="DA150" i="3"/>
  <c r="A151" i="3"/>
  <c r="CY151" i="3"/>
  <c r="CZ151" i="3"/>
  <c r="DA151" i="3"/>
  <c r="A152" i="3"/>
  <c r="CY152" i="3"/>
  <c r="CZ152" i="3"/>
  <c r="DA152" i="3"/>
  <c r="A153" i="3"/>
  <c r="CY153" i="3"/>
  <c r="CZ153" i="3"/>
  <c r="DA153" i="3"/>
  <c r="A154" i="3"/>
  <c r="CY154" i="3"/>
  <c r="CZ154" i="3"/>
  <c r="DA154" i="3"/>
  <c r="A155" i="3"/>
  <c r="CY155" i="3"/>
  <c r="CZ155" i="3"/>
  <c r="DA155" i="3"/>
  <c r="A156" i="3"/>
  <c r="CY156" i="3"/>
  <c r="CZ156" i="3"/>
  <c r="DA156" i="3"/>
  <c r="A157" i="3"/>
  <c r="CY157" i="3"/>
  <c r="CZ157" i="3"/>
  <c r="DA157" i="3"/>
  <c r="A158" i="3"/>
  <c r="CY158" i="3"/>
  <c r="CZ158" i="3"/>
  <c r="DA158" i="3"/>
  <c r="A159" i="3"/>
  <c r="CY159" i="3"/>
  <c r="CZ159" i="3"/>
  <c r="DA159" i="3"/>
  <c r="A160" i="3"/>
  <c r="CY160" i="3"/>
  <c r="CZ160" i="3"/>
  <c r="DA160" i="3"/>
  <c r="A161" i="3"/>
  <c r="CY161" i="3"/>
  <c r="CZ161" i="3"/>
  <c r="DA161" i="3"/>
  <c r="A162" i="3"/>
  <c r="CY162" i="3"/>
  <c r="CZ162" i="3"/>
  <c r="DA162" i="3"/>
  <c r="A163" i="3"/>
  <c r="CX163" i="3"/>
  <c r="CY163" i="3"/>
  <c r="CZ163" i="3"/>
  <c r="DA163" i="3"/>
  <c r="A164" i="3"/>
  <c r="CX164" i="3"/>
  <c r="CY164" i="3"/>
  <c r="CZ164" i="3"/>
  <c r="DA164" i="3"/>
  <c r="A165" i="3"/>
  <c r="CX165" i="3"/>
  <c r="CY165" i="3"/>
  <c r="CZ165" i="3"/>
  <c r="DA165" i="3"/>
  <c r="A166" i="3"/>
  <c r="CY166" i="3"/>
  <c r="CZ166" i="3"/>
  <c r="DA166" i="3"/>
  <c r="A167" i="3"/>
  <c r="CY167" i="3"/>
  <c r="CZ167" i="3"/>
  <c r="DA167" i="3"/>
  <c r="A168" i="3"/>
  <c r="CY168" i="3"/>
  <c r="CZ168" i="3"/>
  <c r="DA168" i="3"/>
  <c r="A169" i="3"/>
  <c r="CX169" i="3"/>
  <c r="CY169" i="3"/>
  <c r="CZ169" i="3"/>
  <c r="DA169" i="3"/>
  <c r="A170" i="3"/>
  <c r="CY170" i="3"/>
  <c r="CZ170" i="3"/>
  <c r="DA170" i="3"/>
  <c r="A171" i="3"/>
  <c r="CY171" i="3"/>
  <c r="CZ171" i="3"/>
  <c r="DA171" i="3"/>
  <c r="A172" i="3"/>
  <c r="CY172" i="3"/>
  <c r="CZ172" i="3"/>
  <c r="DA172" i="3"/>
  <c r="A173" i="3"/>
  <c r="CY173" i="3"/>
  <c r="CZ173" i="3"/>
  <c r="DA173" i="3"/>
  <c r="A174" i="3"/>
  <c r="CY174" i="3"/>
  <c r="CZ174" i="3"/>
  <c r="DA174" i="3"/>
  <c r="A175" i="3"/>
  <c r="CY175" i="3"/>
  <c r="CZ175" i="3"/>
  <c r="DA175" i="3"/>
  <c r="A176" i="3"/>
  <c r="CY176" i="3"/>
  <c r="CZ176" i="3"/>
  <c r="DA176" i="3"/>
  <c r="A177" i="3"/>
  <c r="CY177" i="3"/>
  <c r="CZ177" i="3"/>
  <c r="DA177" i="3"/>
  <c r="A178" i="3"/>
  <c r="CY178" i="3"/>
  <c r="CZ178" i="3"/>
  <c r="DA178" i="3"/>
  <c r="A179" i="3"/>
  <c r="CY179" i="3"/>
  <c r="CZ179" i="3"/>
  <c r="DA179" i="3"/>
  <c r="A180" i="3"/>
  <c r="CY180" i="3"/>
  <c r="CZ180" i="3"/>
  <c r="DA180" i="3"/>
  <c r="A181" i="3"/>
  <c r="CY181" i="3"/>
  <c r="CZ181" i="3"/>
  <c r="DA181" i="3"/>
  <c r="A182" i="3"/>
  <c r="CY182" i="3"/>
  <c r="CZ182" i="3"/>
  <c r="DA182" i="3"/>
  <c r="A183" i="3"/>
  <c r="CY183" i="3"/>
  <c r="CZ183" i="3"/>
  <c r="DA183" i="3"/>
  <c r="A184" i="3"/>
  <c r="CY184" i="3"/>
  <c r="CZ184" i="3"/>
  <c r="DA184" i="3"/>
  <c r="A185" i="3"/>
  <c r="CY185" i="3"/>
  <c r="CZ185" i="3"/>
  <c r="DA185" i="3"/>
  <c r="A186" i="3"/>
  <c r="CY186" i="3"/>
  <c r="CZ186" i="3"/>
  <c r="DA186" i="3"/>
  <c r="A187" i="3"/>
  <c r="CY187" i="3"/>
  <c r="CZ187" i="3"/>
  <c r="DA187" i="3"/>
  <c r="A188" i="3"/>
  <c r="CY188" i="3"/>
  <c r="CZ188" i="3"/>
  <c r="DA188" i="3"/>
  <c r="A189" i="3"/>
  <c r="CY189" i="3"/>
  <c r="CZ189" i="3"/>
  <c r="DA189" i="3"/>
  <c r="A190" i="3"/>
  <c r="CY190" i="3"/>
  <c r="CZ190" i="3"/>
  <c r="DA190" i="3"/>
  <c r="A191" i="3"/>
  <c r="CY191" i="3"/>
  <c r="CZ191" i="3"/>
  <c r="DA191" i="3"/>
  <c r="A192" i="3"/>
  <c r="CY192" i="3"/>
  <c r="CZ192" i="3"/>
  <c r="DA192" i="3"/>
  <c r="A193" i="3"/>
  <c r="CY193" i="3"/>
  <c r="CZ193" i="3"/>
  <c r="DA193" i="3"/>
  <c r="A194" i="3"/>
  <c r="CY194" i="3"/>
  <c r="CZ194" i="3"/>
  <c r="DA194" i="3"/>
  <c r="A195" i="3"/>
  <c r="CY195" i="3"/>
  <c r="CZ195" i="3"/>
  <c r="DA195" i="3"/>
  <c r="A196" i="3"/>
  <c r="CY196" i="3"/>
  <c r="CZ196" i="3"/>
  <c r="DA196" i="3"/>
  <c r="A197" i="3"/>
  <c r="CY197" i="3"/>
  <c r="CZ197" i="3"/>
  <c r="DA197" i="3"/>
  <c r="A198" i="3"/>
  <c r="CY198" i="3"/>
  <c r="CZ198" i="3"/>
  <c r="DA198" i="3"/>
  <c r="A199" i="3"/>
  <c r="CY199" i="3"/>
  <c r="CZ199" i="3"/>
  <c r="DA199" i="3"/>
  <c r="A200" i="3"/>
  <c r="CY200" i="3"/>
  <c r="CZ200" i="3"/>
  <c r="DA200" i="3"/>
  <c r="A201" i="3"/>
  <c r="CY201" i="3"/>
  <c r="CZ201" i="3"/>
  <c r="DA201" i="3"/>
  <c r="A202" i="3"/>
  <c r="CY202" i="3"/>
  <c r="CZ202" i="3"/>
  <c r="DA202" i="3"/>
  <c r="A203" i="3"/>
  <c r="CY203" i="3"/>
  <c r="CZ203" i="3"/>
  <c r="DA203" i="3"/>
  <c r="A204" i="3"/>
  <c r="CY204" i="3"/>
  <c r="CZ204" i="3"/>
  <c r="DA204" i="3"/>
  <c r="A205" i="3"/>
  <c r="CY205" i="3"/>
  <c r="CZ205" i="3"/>
  <c r="DA205" i="3"/>
  <c r="A206" i="3"/>
  <c r="CY206" i="3"/>
  <c r="CZ206" i="3"/>
  <c r="DA206" i="3"/>
  <c r="A207" i="3"/>
  <c r="CY207" i="3"/>
  <c r="CZ207" i="3"/>
  <c r="DA207" i="3"/>
  <c r="A208" i="3"/>
  <c r="CY208" i="3"/>
  <c r="CZ208" i="3"/>
  <c r="DA208" i="3"/>
  <c r="A209" i="3"/>
  <c r="CY209" i="3"/>
  <c r="CZ209" i="3"/>
  <c r="DA209" i="3"/>
  <c r="A210" i="3"/>
  <c r="CY210" i="3"/>
  <c r="CZ210" i="3"/>
  <c r="DA210" i="3"/>
  <c r="A211" i="3"/>
  <c r="CY211" i="3"/>
  <c r="CZ211" i="3"/>
  <c r="DA211" i="3"/>
  <c r="A212" i="3"/>
  <c r="CY212" i="3"/>
  <c r="CZ212" i="3"/>
  <c r="DA212" i="3"/>
  <c r="A213" i="3"/>
  <c r="CY213" i="3"/>
  <c r="CZ213" i="3"/>
  <c r="DA213" i="3"/>
  <c r="A214" i="3"/>
  <c r="CX214" i="3"/>
  <c r="CY214" i="3"/>
  <c r="CZ214" i="3"/>
  <c r="DA214" i="3"/>
  <c r="A215" i="3"/>
  <c r="CY215" i="3"/>
  <c r="CZ215" i="3"/>
  <c r="DA215" i="3"/>
  <c r="A216" i="3"/>
  <c r="CY216" i="3"/>
  <c r="CZ216" i="3"/>
  <c r="DA216" i="3"/>
  <c r="A217" i="3"/>
  <c r="CY217" i="3"/>
  <c r="CZ217" i="3"/>
  <c r="DA217" i="3"/>
  <c r="A218" i="3"/>
  <c r="CY218" i="3"/>
  <c r="CZ218" i="3"/>
  <c r="DA218" i="3"/>
  <c r="A219" i="3"/>
  <c r="CY219" i="3"/>
  <c r="CZ219" i="3"/>
  <c r="DA219" i="3"/>
  <c r="A220" i="3"/>
  <c r="CY220" i="3"/>
  <c r="CZ220" i="3"/>
  <c r="DA220" i="3"/>
  <c r="A221" i="3"/>
  <c r="CY221" i="3"/>
  <c r="CZ221" i="3"/>
  <c r="DA221" i="3"/>
  <c r="A222" i="3"/>
  <c r="CY222" i="3"/>
  <c r="CZ222" i="3"/>
  <c r="DA222" i="3"/>
  <c r="A223" i="3"/>
  <c r="CY223" i="3"/>
  <c r="CZ223" i="3"/>
  <c r="DA223" i="3"/>
  <c r="A224" i="3"/>
  <c r="CY224" i="3"/>
  <c r="CZ224" i="3"/>
  <c r="DA224" i="3"/>
  <c r="A225" i="3"/>
  <c r="CY225" i="3"/>
  <c r="CZ225" i="3"/>
  <c r="DA225" i="3"/>
  <c r="A226" i="3"/>
  <c r="CY226" i="3"/>
  <c r="CZ226" i="3"/>
  <c r="DA226" i="3"/>
  <c r="A227" i="3"/>
  <c r="CY227" i="3"/>
  <c r="CZ227" i="3"/>
  <c r="DA227" i="3"/>
  <c r="A228" i="3"/>
  <c r="CY228" i="3"/>
  <c r="CZ228" i="3"/>
  <c r="DA228" i="3"/>
  <c r="A229" i="3"/>
  <c r="CY229" i="3"/>
  <c r="CZ229" i="3"/>
  <c r="DA229" i="3"/>
  <c r="A230" i="3"/>
  <c r="CY230" i="3"/>
  <c r="CZ230" i="3"/>
  <c r="DA230" i="3"/>
  <c r="A231" i="3"/>
  <c r="CY231" i="3"/>
  <c r="CZ231" i="3"/>
  <c r="DA231" i="3"/>
  <c r="A232" i="3"/>
  <c r="CY232" i="3"/>
  <c r="CZ232" i="3"/>
  <c r="DA232" i="3"/>
  <c r="A233" i="3"/>
  <c r="CY233" i="3"/>
  <c r="CZ233" i="3"/>
  <c r="DA233" i="3"/>
  <c r="A234" i="3"/>
  <c r="CY234" i="3"/>
  <c r="CZ234" i="3"/>
  <c r="DA234" i="3"/>
  <c r="A235" i="3"/>
  <c r="CY235" i="3"/>
  <c r="CZ235" i="3"/>
  <c r="DA235" i="3"/>
  <c r="A236" i="3"/>
  <c r="CY236" i="3"/>
  <c r="CZ236" i="3"/>
  <c r="DA236" i="3"/>
  <c r="A237" i="3"/>
  <c r="CY237" i="3"/>
  <c r="CZ237" i="3"/>
  <c r="DA237" i="3"/>
  <c r="A238" i="3"/>
  <c r="CY238" i="3"/>
  <c r="CZ238" i="3"/>
  <c r="DA238" i="3"/>
  <c r="A239" i="3"/>
  <c r="CY239" i="3"/>
  <c r="CZ239" i="3"/>
  <c r="DA239" i="3"/>
  <c r="A240" i="3"/>
  <c r="CY240" i="3"/>
  <c r="CZ240" i="3"/>
  <c r="DA240" i="3"/>
  <c r="A241" i="3"/>
  <c r="CY241" i="3"/>
  <c r="CZ241" i="3"/>
  <c r="DA241" i="3"/>
  <c r="A242" i="3"/>
  <c r="CY242" i="3"/>
  <c r="CZ242" i="3"/>
  <c r="DA242" i="3"/>
  <c r="A243" i="3"/>
  <c r="CY243" i="3"/>
  <c r="CZ243" i="3"/>
  <c r="DA243" i="3"/>
  <c r="A244" i="3"/>
  <c r="CY244" i="3"/>
  <c r="CZ244" i="3"/>
  <c r="DA244" i="3"/>
  <c r="A245" i="3"/>
  <c r="CY245" i="3"/>
  <c r="CZ245" i="3"/>
  <c r="DA245" i="3"/>
  <c r="A246" i="3"/>
  <c r="CY246" i="3"/>
  <c r="CZ246" i="3"/>
  <c r="DA246" i="3"/>
  <c r="A247" i="3"/>
  <c r="CY247" i="3"/>
  <c r="CZ247" i="3"/>
  <c r="DA247" i="3"/>
  <c r="A248" i="3"/>
  <c r="CY248" i="3"/>
  <c r="CZ248" i="3"/>
  <c r="DA248" i="3"/>
  <c r="A249" i="3"/>
  <c r="CY249" i="3"/>
  <c r="CZ249" i="3"/>
  <c r="DA249" i="3"/>
  <c r="A250" i="3"/>
  <c r="CY250" i="3"/>
  <c r="CZ250" i="3"/>
  <c r="DA250" i="3"/>
  <c r="A251" i="3"/>
  <c r="CY251" i="3"/>
  <c r="CZ251" i="3"/>
  <c r="DA251" i="3"/>
  <c r="A252" i="3"/>
  <c r="CY252" i="3"/>
  <c r="CZ252" i="3"/>
  <c r="DA252" i="3"/>
  <c r="A253" i="3"/>
  <c r="CY253" i="3"/>
  <c r="CZ253" i="3"/>
  <c r="DA253" i="3"/>
  <c r="A254" i="3"/>
  <c r="CY254" i="3"/>
  <c r="CZ254" i="3"/>
  <c r="DA254" i="3"/>
  <c r="A255" i="3"/>
  <c r="CY255" i="3"/>
  <c r="CZ255" i="3"/>
  <c r="DA255" i="3"/>
  <c r="A256" i="3"/>
  <c r="CY256" i="3"/>
  <c r="CZ256" i="3"/>
  <c r="DA256" i="3"/>
  <c r="A257" i="3"/>
  <c r="CY257" i="3"/>
  <c r="CZ257" i="3"/>
  <c r="DA257" i="3"/>
  <c r="A258" i="3"/>
  <c r="CY258" i="3"/>
  <c r="CZ258" i="3"/>
  <c r="DA258" i="3"/>
  <c r="A259" i="3"/>
  <c r="CY259" i="3"/>
  <c r="CZ259" i="3"/>
  <c r="DA259" i="3"/>
  <c r="A260" i="3"/>
  <c r="CY260" i="3"/>
  <c r="CZ260" i="3"/>
  <c r="DA260" i="3"/>
  <c r="A261" i="3"/>
  <c r="CY261" i="3"/>
  <c r="CZ261" i="3"/>
  <c r="DA261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M26" i="1"/>
  <c r="AN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C28" i="1"/>
  <c r="D28" i="1"/>
  <c r="I28" i="1"/>
  <c r="AC28" i="1"/>
  <c r="CQ28" i="1" s="1"/>
  <c r="P28" i="1" s="1"/>
  <c r="AE28" i="1"/>
  <c r="AF28" i="1"/>
  <c r="AG28" i="1"/>
  <c r="AH28" i="1"/>
  <c r="CV28" i="1" s="1"/>
  <c r="U28" i="1" s="1"/>
  <c r="K26" i="5" s="1"/>
  <c r="AI28" i="1"/>
  <c r="CW28" i="1" s="1"/>
  <c r="AJ28" i="1"/>
  <c r="CX28" i="1" s="1"/>
  <c r="W28" i="1" s="1"/>
  <c r="CR28" i="1"/>
  <c r="Q28" i="1" s="1"/>
  <c r="J21" i="5" s="1"/>
  <c r="CU28" i="1"/>
  <c r="FR28" i="1"/>
  <c r="GL28" i="1"/>
  <c r="GN28" i="1"/>
  <c r="GO28" i="1"/>
  <c r="GV28" i="1"/>
  <c r="GX28" i="1" s="1"/>
  <c r="C29" i="1"/>
  <c r="D29" i="1"/>
  <c r="I29" i="1"/>
  <c r="AC29" i="1"/>
  <c r="CQ29" i="1" s="1"/>
  <c r="AE29" i="1"/>
  <c r="U28" i="5" s="1"/>
  <c r="AF29" i="1"/>
  <c r="AG29" i="1"/>
  <c r="CU29" i="1" s="1"/>
  <c r="T29" i="1" s="1"/>
  <c r="AH29" i="1"/>
  <c r="AI29" i="1"/>
  <c r="CW29" i="1" s="1"/>
  <c r="V29" i="1" s="1"/>
  <c r="AJ29" i="1"/>
  <c r="CX29" i="1" s="1"/>
  <c r="CV29" i="1"/>
  <c r="U29" i="1" s="1"/>
  <c r="K36" i="5" s="1"/>
  <c r="FR29" i="1"/>
  <c r="GL29" i="1"/>
  <c r="GN29" i="1"/>
  <c r="GO29" i="1"/>
  <c r="GV29" i="1"/>
  <c r="C30" i="1"/>
  <c r="D30" i="1"/>
  <c r="AC30" i="1"/>
  <c r="AE30" i="1"/>
  <c r="U38" i="5" s="1"/>
  <c r="AF30" i="1"/>
  <c r="CT30" i="1" s="1"/>
  <c r="S30" i="1" s="1"/>
  <c r="AG30" i="1"/>
  <c r="CU30" i="1" s="1"/>
  <c r="T30" i="1" s="1"/>
  <c r="AH30" i="1"/>
  <c r="CV30" i="1" s="1"/>
  <c r="U30" i="1" s="1"/>
  <c r="AI30" i="1"/>
  <c r="CW30" i="1" s="1"/>
  <c r="V30" i="1" s="1"/>
  <c r="AJ30" i="1"/>
  <c r="CX30" i="1" s="1"/>
  <c r="W30" i="1" s="1"/>
  <c r="CS30" i="1"/>
  <c r="FR30" i="1"/>
  <c r="GL30" i="1"/>
  <c r="GN30" i="1"/>
  <c r="GO30" i="1"/>
  <c r="GV30" i="1"/>
  <c r="GX30" i="1" s="1"/>
  <c r="C31" i="1"/>
  <c r="D31" i="1"/>
  <c r="I31" i="1"/>
  <c r="AC31" i="1"/>
  <c r="CQ31" i="1" s="1"/>
  <c r="P31" i="1" s="1"/>
  <c r="AE31" i="1"/>
  <c r="AF31" i="1"/>
  <c r="AG31" i="1"/>
  <c r="AH31" i="1"/>
  <c r="AI31" i="1"/>
  <c r="CW31" i="1" s="1"/>
  <c r="AJ31" i="1"/>
  <c r="CX31" i="1" s="1"/>
  <c r="W31" i="1" s="1"/>
  <c r="CU31" i="1"/>
  <c r="CV31" i="1"/>
  <c r="U31" i="1" s="1"/>
  <c r="FR31" i="1"/>
  <c r="GL31" i="1"/>
  <c r="GN31" i="1"/>
  <c r="GO31" i="1"/>
  <c r="GV31" i="1"/>
  <c r="GX31" i="1" s="1"/>
  <c r="C32" i="1"/>
  <c r="D32" i="1"/>
  <c r="I32" i="1"/>
  <c r="AC32" i="1"/>
  <c r="CQ32" i="1" s="1"/>
  <c r="AE32" i="1"/>
  <c r="AF32" i="1"/>
  <c r="AG32" i="1"/>
  <c r="CU32" i="1" s="1"/>
  <c r="AH32" i="1"/>
  <c r="AI32" i="1"/>
  <c r="CW32" i="1" s="1"/>
  <c r="V32" i="1" s="1"/>
  <c r="AJ32" i="1"/>
  <c r="CX32" i="1" s="1"/>
  <c r="CS32" i="1"/>
  <c r="CV32" i="1"/>
  <c r="FR32" i="1"/>
  <c r="GL32" i="1"/>
  <c r="GN32" i="1"/>
  <c r="GO32" i="1"/>
  <c r="GV32" i="1"/>
  <c r="GX32" i="1" s="1"/>
  <c r="C33" i="1"/>
  <c r="D33" i="1"/>
  <c r="I33" i="1"/>
  <c r="I34" i="1" s="1"/>
  <c r="CX24" i="3" s="1"/>
  <c r="AC33" i="1"/>
  <c r="AE33" i="1"/>
  <c r="AD33" i="1" s="1"/>
  <c r="AF33" i="1"/>
  <c r="AG33" i="1"/>
  <c r="CU33" i="1" s="1"/>
  <c r="T33" i="1" s="1"/>
  <c r="AH33" i="1"/>
  <c r="CV33" i="1" s="1"/>
  <c r="AI33" i="1"/>
  <c r="CW33" i="1" s="1"/>
  <c r="AJ33" i="1"/>
  <c r="CX33" i="1" s="1"/>
  <c r="CR33" i="1"/>
  <c r="Q33" i="1" s="1"/>
  <c r="J54" i="5" s="1"/>
  <c r="CT33" i="1"/>
  <c r="FR33" i="1"/>
  <c r="GL33" i="1"/>
  <c r="GN33" i="1"/>
  <c r="GO33" i="1"/>
  <c r="GV33" i="1"/>
  <c r="GX33" i="1" s="1"/>
  <c r="C34" i="1"/>
  <c r="D34" i="1"/>
  <c r="AC34" i="1"/>
  <c r="CQ34" i="1" s="1"/>
  <c r="AE34" i="1"/>
  <c r="AF34" i="1"/>
  <c r="AG34" i="1"/>
  <c r="CU34" i="1" s="1"/>
  <c r="AH34" i="1"/>
  <c r="AI34" i="1"/>
  <c r="CW34" i="1" s="1"/>
  <c r="AJ34" i="1"/>
  <c r="CX34" i="1" s="1"/>
  <c r="CS34" i="1"/>
  <c r="CV34" i="1"/>
  <c r="FR34" i="1"/>
  <c r="GL34" i="1"/>
  <c r="GN34" i="1"/>
  <c r="GO34" i="1"/>
  <c r="GV34" i="1"/>
  <c r="C35" i="1"/>
  <c r="D35" i="1"/>
  <c r="R35" i="1"/>
  <c r="J75" i="5" s="1"/>
  <c r="AC35" i="1"/>
  <c r="AD35" i="1"/>
  <c r="AE35" i="1"/>
  <c r="U72" i="5" s="1"/>
  <c r="AF35" i="1"/>
  <c r="AG35" i="1"/>
  <c r="AH35" i="1"/>
  <c r="CV35" i="1" s="1"/>
  <c r="U35" i="1" s="1"/>
  <c r="K80" i="5" s="1"/>
  <c r="AI35" i="1"/>
  <c r="AJ35" i="1"/>
  <c r="CX35" i="1" s="1"/>
  <c r="W35" i="1" s="1"/>
  <c r="CQ35" i="1"/>
  <c r="P35" i="1" s="1"/>
  <c r="J76" i="5" s="1"/>
  <c r="CR35" i="1"/>
  <c r="Q35" i="1" s="1"/>
  <c r="J74" i="5" s="1"/>
  <c r="CS35" i="1"/>
  <c r="V72" i="5" s="1"/>
  <c r="J79" i="5" s="1"/>
  <c r="CT35" i="1"/>
  <c r="S35" i="1" s="1"/>
  <c r="J73" i="5" s="1"/>
  <c r="CU35" i="1"/>
  <c r="T35" i="1" s="1"/>
  <c r="CW35" i="1"/>
  <c r="V35" i="1" s="1"/>
  <c r="FR35" i="1"/>
  <c r="GL35" i="1"/>
  <c r="GN35" i="1"/>
  <c r="GO35" i="1"/>
  <c r="GV35" i="1"/>
  <c r="GX35" i="1"/>
  <c r="B37" i="1"/>
  <c r="B26" i="1" s="1"/>
  <c r="C37" i="1"/>
  <c r="C26" i="1" s="1"/>
  <c r="D37" i="1"/>
  <c r="D26" i="1" s="1"/>
  <c r="F37" i="1"/>
  <c r="F26" i="1" s="1"/>
  <c r="G37" i="1"/>
  <c r="BX37" i="1"/>
  <c r="BX26" i="1" s="1"/>
  <c r="CK37" i="1"/>
  <c r="CL37" i="1"/>
  <c r="CL26" i="1" s="1"/>
  <c r="D66" i="1"/>
  <c r="E68" i="1"/>
  <c r="Z68" i="1"/>
  <c r="AA68" i="1"/>
  <c r="AM68" i="1"/>
  <c r="AN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EB68" i="1"/>
  <c r="EC68" i="1"/>
  <c r="ED68" i="1"/>
  <c r="EE68" i="1"/>
  <c r="EF68" i="1"/>
  <c r="EG68" i="1"/>
  <c r="EH68" i="1"/>
  <c r="EI68" i="1"/>
  <c r="EJ68" i="1"/>
  <c r="EK68" i="1"/>
  <c r="EL68" i="1"/>
  <c r="EM68" i="1"/>
  <c r="EN68" i="1"/>
  <c r="EO68" i="1"/>
  <c r="EP68" i="1"/>
  <c r="EQ68" i="1"/>
  <c r="ER68" i="1"/>
  <c r="ES68" i="1"/>
  <c r="ET68" i="1"/>
  <c r="EU68" i="1"/>
  <c r="EV68" i="1"/>
  <c r="EW68" i="1"/>
  <c r="EX68" i="1"/>
  <c r="EY68" i="1"/>
  <c r="EZ68" i="1"/>
  <c r="FA68" i="1"/>
  <c r="FB68" i="1"/>
  <c r="FC68" i="1"/>
  <c r="FD68" i="1"/>
  <c r="FE68" i="1"/>
  <c r="FF68" i="1"/>
  <c r="FG68" i="1"/>
  <c r="FH68" i="1"/>
  <c r="FI68" i="1"/>
  <c r="FJ68" i="1"/>
  <c r="FK68" i="1"/>
  <c r="FL68" i="1"/>
  <c r="FM68" i="1"/>
  <c r="FN68" i="1"/>
  <c r="FO68" i="1"/>
  <c r="FP68" i="1"/>
  <c r="FQ68" i="1"/>
  <c r="FR68" i="1"/>
  <c r="FS68" i="1"/>
  <c r="FT68" i="1"/>
  <c r="FU68" i="1"/>
  <c r="FV68" i="1"/>
  <c r="FW68" i="1"/>
  <c r="FX68" i="1"/>
  <c r="FY68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GM68" i="1"/>
  <c r="GN68" i="1"/>
  <c r="GO68" i="1"/>
  <c r="GP68" i="1"/>
  <c r="GQ68" i="1"/>
  <c r="GR68" i="1"/>
  <c r="GS68" i="1"/>
  <c r="GT68" i="1"/>
  <c r="GU68" i="1"/>
  <c r="GV68" i="1"/>
  <c r="GW68" i="1"/>
  <c r="GX68" i="1"/>
  <c r="C70" i="1"/>
  <c r="D70" i="1"/>
  <c r="I70" i="1"/>
  <c r="AC70" i="1"/>
  <c r="CQ70" i="1" s="1"/>
  <c r="P70" i="1" s="1"/>
  <c r="AE70" i="1"/>
  <c r="U87" i="5" s="1"/>
  <c r="AF70" i="1"/>
  <c r="CT70" i="1" s="1"/>
  <c r="S70" i="1" s="1"/>
  <c r="J89" i="5" s="1"/>
  <c r="AG70" i="1"/>
  <c r="CU70" i="1" s="1"/>
  <c r="T70" i="1" s="1"/>
  <c r="AH70" i="1"/>
  <c r="CV70" i="1" s="1"/>
  <c r="U70" i="1" s="1"/>
  <c r="K95" i="5" s="1"/>
  <c r="AI70" i="1"/>
  <c r="CW70" i="1" s="1"/>
  <c r="V70" i="1" s="1"/>
  <c r="AJ70" i="1"/>
  <c r="CX70" i="1" s="1"/>
  <c r="W70" i="1" s="1"/>
  <c r="FR70" i="1"/>
  <c r="GL70" i="1"/>
  <c r="GN70" i="1"/>
  <c r="GO70" i="1"/>
  <c r="GV70" i="1"/>
  <c r="GX70" i="1" s="1"/>
  <c r="C71" i="1"/>
  <c r="D71" i="1"/>
  <c r="AC71" i="1"/>
  <c r="AE71" i="1"/>
  <c r="AD71" i="1" s="1"/>
  <c r="AF71" i="1"/>
  <c r="AG71" i="1"/>
  <c r="CU71" i="1" s="1"/>
  <c r="AH71" i="1"/>
  <c r="CV71" i="1" s="1"/>
  <c r="AI71" i="1"/>
  <c r="CW71" i="1" s="1"/>
  <c r="AJ71" i="1"/>
  <c r="CQ71" i="1"/>
  <c r="CT71" i="1"/>
  <c r="CX71" i="1"/>
  <c r="FR71" i="1"/>
  <c r="GL71" i="1"/>
  <c r="GN71" i="1"/>
  <c r="GO71" i="1"/>
  <c r="GV71" i="1"/>
  <c r="C72" i="1"/>
  <c r="D72" i="1"/>
  <c r="AC72" i="1"/>
  <c r="CQ72" i="1" s="1"/>
  <c r="AE72" i="1"/>
  <c r="AF72" i="1"/>
  <c r="AG72" i="1"/>
  <c r="CU72" i="1" s="1"/>
  <c r="AH72" i="1"/>
  <c r="CV72" i="1" s="1"/>
  <c r="AI72" i="1"/>
  <c r="CW72" i="1" s="1"/>
  <c r="AJ72" i="1"/>
  <c r="CX72" i="1" s="1"/>
  <c r="FR72" i="1"/>
  <c r="GL72" i="1"/>
  <c r="GN72" i="1"/>
  <c r="GO72" i="1"/>
  <c r="GV72" i="1"/>
  <c r="C73" i="1"/>
  <c r="D73" i="1"/>
  <c r="I73" i="1"/>
  <c r="AC73" i="1"/>
  <c r="AE73" i="1"/>
  <c r="AD73" i="1" s="1"/>
  <c r="AF73" i="1"/>
  <c r="CT73" i="1" s="1"/>
  <c r="S73" i="1" s="1"/>
  <c r="J108" i="5" s="1"/>
  <c r="AG73" i="1"/>
  <c r="CU73" i="1" s="1"/>
  <c r="T73" i="1" s="1"/>
  <c r="AH73" i="1"/>
  <c r="CV73" i="1" s="1"/>
  <c r="U73" i="1" s="1"/>
  <c r="K115" i="5" s="1"/>
  <c r="AI73" i="1"/>
  <c r="CW73" i="1" s="1"/>
  <c r="V73" i="1" s="1"/>
  <c r="AJ73" i="1"/>
  <c r="CX73" i="1"/>
  <c r="W73" i="1" s="1"/>
  <c r="FR73" i="1"/>
  <c r="GL73" i="1"/>
  <c r="GN73" i="1"/>
  <c r="GO73" i="1"/>
  <c r="GV73" i="1"/>
  <c r="GX73" i="1" s="1"/>
  <c r="C74" i="1"/>
  <c r="D74" i="1"/>
  <c r="I74" i="1"/>
  <c r="AC74" i="1"/>
  <c r="AE74" i="1"/>
  <c r="AF74" i="1"/>
  <c r="AG74" i="1"/>
  <c r="CU74" i="1" s="1"/>
  <c r="T74" i="1" s="1"/>
  <c r="AH74" i="1"/>
  <c r="CV74" i="1" s="1"/>
  <c r="AI74" i="1"/>
  <c r="CW74" i="1" s="1"/>
  <c r="V74" i="1" s="1"/>
  <c r="AJ74" i="1"/>
  <c r="CX74" i="1" s="1"/>
  <c r="CQ74" i="1"/>
  <c r="P74" i="1" s="1"/>
  <c r="FR74" i="1"/>
  <c r="GL74" i="1"/>
  <c r="GN74" i="1"/>
  <c r="GO74" i="1"/>
  <c r="GV74" i="1"/>
  <c r="C75" i="1"/>
  <c r="D75" i="1"/>
  <c r="I75" i="1"/>
  <c r="AC75" i="1"/>
  <c r="CQ75" i="1" s="1"/>
  <c r="AE75" i="1"/>
  <c r="CS75" i="1" s="1"/>
  <c r="AF75" i="1"/>
  <c r="AG75" i="1"/>
  <c r="CU75" i="1" s="1"/>
  <c r="AH75" i="1"/>
  <c r="AI75" i="1"/>
  <c r="CW75" i="1" s="1"/>
  <c r="V75" i="1" s="1"/>
  <c r="AJ75" i="1"/>
  <c r="CX75" i="1" s="1"/>
  <c r="CV75" i="1"/>
  <c r="U75" i="1" s="1"/>
  <c r="K136" i="5" s="1"/>
  <c r="FR75" i="1"/>
  <c r="GL75" i="1"/>
  <c r="GN75" i="1"/>
  <c r="GO75" i="1"/>
  <c r="GV75" i="1"/>
  <c r="B77" i="1"/>
  <c r="B68" i="1" s="1"/>
  <c r="C77" i="1"/>
  <c r="C68" i="1" s="1"/>
  <c r="D77" i="1"/>
  <c r="D68" i="1" s="1"/>
  <c r="F77" i="1"/>
  <c r="F68" i="1" s="1"/>
  <c r="G77" i="1"/>
  <c r="BX77" i="1"/>
  <c r="AO77" i="1" s="1"/>
  <c r="CK77" i="1"/>
  <c r="BB77" i="1" s="1"/>
  <c r="CL77" i="1"/>
  <c r="BC77" i="1" s="1"/>
  <c r="D106" i="1"/>
  <c r="E108" i="1"/>
  <c r="Z108" i="1"/>
  <c r="AA108" i="1"/>
  <c r="AM108" i="1"/>
  <c r="AN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DB108" i="1"/>
  <c r="DC108" i="1"/>
  <c r="DD108" i="1"/>
  <c r="DE108" i="1"/>
  <c r="DF108" i="1"/>
  <c r="DG108" i="1"/>
  <c r="DH108" i="1"/>
  <c r="DI108" i="1"/>
  <c r="DJ108" i="1"/>
  <c r="DK108" i="1"/>
  <c r="DL108" i="1"/>
  <c r="DM108" i="1"/>
  <c r="DN108" i="1"/>
  <c r="DO108" i="1"/>
  <c r="DP108" i="1"/>
  <c r="DQ108" i="1"/>
  <c r="DR108" i="1"/>
  <c r="DS108" i="1"/>
  <c r="DT108" i="1"/>
  <c r="DU108" i="1"/>
  <c r="DV108" i="1"/>
  <c r="DW108" i="1"/>
  <c r="DX108" i="1"/>
  <c r="DY108" i="1"/>
  <c r="DZ108" i="1"/>
  <c r="EA108" i="1"/>
  <c r="EB108" i="1"/>
  <c r="EC108" i="1"/>
  <c r="ED108" i="1"/>
  <c r="EE108" i="1"/>
  <c r="EF108" i="1"/>
  <c r="EG108" i="1"/>
  <c r="EH108" i="1"/>
  <c r="EI108" i="1"/>
  <c r="EJ108" i="1"/>
  <c r="EK108" i="1"/>
  <c r="EL108" i="1"/>
  <c r="EM108" i="1"/>
  <c r="EN108" i="1"/>
  <c r="EO108" i="1"/>
  <c r="EP108" i="1"/>
  <c r="EQ108" i="1"/>
  <c r="ER108" i="1"/>
  <c r="ES108" i="1"/>
  <c r="ET108" i="1"/>
  <c r="EU108" i="1"/>
  <c r="EV108" i="1"/>
  <c r="EW108" i="1"/>
  <c r="EX108" i="1"/>
  <c r="EY108" i="1"/>
  <c r="EZ108" i="1"/>
  <c r="FA108" i="1"/>
  <c r="FB108" i="1"/>
  <c r="FC108" i="1"/>
  <c r="FD108" i="1"/>
  <c r="FE108" i="1"/>
  <c r="FF108" i="1"/>
  <c r="FG108" i="1"/>
  <c r="FH108" i="1"/>
  <c r="FI108" i="1"/>
  <c r="FJ108" i="1"/>
  <c r="FK108" i="1"/>
  <c r="FL108" i="1"/>
  <c r="FM108" i="1"/>
  <c r="FN108" i="1"/>
  <c r="FO108" i="1"/>
  <c r="FP108" i="1"/>
  <c r="FQ108" i="1"/>
  <c r="FR108" i="1"/>
  <c r="FS108" i="1"/>
  <c r="FT108" i="1"/>
  <c r="FU108" i="1"/>
  <c r="FV108" i="1"/>
  <c r="FW108" i="1"/>
  <c r="FX108" i="1"/>
  <c r="FY108" i="1"/>
  <c r="FZ108" i="1"/>
  <c r="GA108" i="1"/>
  <c r="GB108" i="1"/>
  <c r="GC108" i="1"/>
  <c r="GD108" i="1"/>
  <c r="GE108" i="1"/>
  <c r="GF108" i="1"/>
  <c r="GG108" i="1"/>
  <c r="GH108" i="1"/>
  <c r="GI108" i="1"/>
  <c r="GJ108" i="1"/>
  <c r="GK108" i="1"/>
  <c r="GL108" i="1"/>
  <c r="GM108" i="1"/>
  <c r="GN108" i="1"/>
  <c r="GO108" i="1"/>
  <c r="GP108" i="1"/>
  <c r="GQ108" i="1"/>
  <c r="GR108" i="1"/>
  <c r="GS108" i="1"/>
  <c r="GT108" i="1"/>
  <c r="GU108" i="1"/>
  <c r="GV108" i="1"/>
  <c r="GW108" i="1"/>
  <c r="GX108" i="1"/>
  <c r="C110" i="1"/>
  <c r="D110" i="1"/>
  <c r="I110" i="1"/>
  <c r="AC110" i="1"/>
  <c r="AE110" i="1"/>
  <c r="U143" i="5" s="1"/>
  <c r="AF110" i="1"/>
  <c r="AG110" i="1"/>
  <c r="CU110" i="1" s="1"/>
  <c r="T110" i="1" s="1"/>
  <c r="AH110" i="1"/>
  <c r="CV110" i="1" s="1"/>
  <c r="AI110" i="1"/>
  <c r="CW110" i="1" s="1"/>
  <c r="V110" i="1" s="1"/>
  <c r="AJ110" i="1"/>
  <c r="CX110" i="1" s="1"/>
  <c r="CQ110" i="1"/>
  <c r="P110" i="1" s="1"/>
  <c r="FR110" i="1"/>
  <c r="GL110" i="1"/>
  <c r="GN110" i="1"/>
  <c r="GO110" i="1"/>
  <c r="GV110" i="1"/>
  <c r="GX110" i="1" s="1"/>
  <c r="C111" i="1"/>
  <c r="D111" i="1"/>
  <c r="I111" i="1"/>
  <c r="AC111" i="1"/>
  <c r="CQ111" i="1" s="1"/>
  <c r="AE111" i="1"/>
  <c r="U153" i="5" s="1"/>
  <c r="AF111" i="1"/>
  <c r="AG111" i="1"/>
  <c r="CU111" i="1" s="1"/>
  <c r="AH111" i="1"/>
  <c r="CV111" i="1" s="1"/>
  <c r="U111" i="1" s="1"/>
  <c r="K161" i="5" s="1"/>
  <c r="AI111" i="1"/>
  <c r="CW111" i="1" s="1"/>
  <c r="V111" i="1" s="1"/>
  <c r="AJ111" i="1"/>
  <c r="CX111" i="1" s="1"/>
  <c r="W111" i="1" s="1"/>
  <c r="FR111" i="1"/>
  <c r="GL111" i="1"/>
  <c r="GN111" i="1"/>
  <c r="GO111" i="1"/>
  <c r="GV111" i="1"/>
  <c r="GX111" i="1" s="1"/>
  <c r="C112" i="1"/>
  <c r="D112" i="1"/>
  <c r="AC112" i="1"/>
  <c r="AE112" i="1"/>
  <c r="AD112" i="1" s="1"/>
  <c r="AF112" i="1"/>
  <c r="AG112" i="1"/>
  <c r="CU112" i="1" s="1"/>
  <c r="T112" i="1" s="1"/>
  <c r="AH112" i="1"/>
  <c r="CV112" i="1" s="1"/>
  <c r="U112" i="1" s="1"/>
  <c r="AI112" i="1"/>
  <c r="CW112" i="1" s="1"/>
  <c r="V112" i="1" s="1"/>
  <c r="AJ112" i="1"/>
  <c r="CR112" i="1"/>
  <c r="Q112" i="1" s="1"/>
  <c r="J164" i="5" s="1"/>
  <c r="CT112" i="1"/>
  <c r="S112" i="1" s="1"/>
  <c r="CZ112" i="1" s="1"/>
  <c r="Y112" i="1" s="1"/>
  <c r="T163" i="5" s="1"/>
  <c r="CX112" i="1"/>
  <c r="W112" i="1" s="1"/>
  <c r="FR112" i="1"/>
  <c r="GL112" i="1"/>
  <c r="GN112" i="1"/>
  <c r="GO112" i="1"/>
  <c r="GV112" i="1"/>
  <c r="GX112" i="1" s="1"/>
  <c r="C113" i="1"/>
  <c r="D113" i="1"/>
  <c r="I113" i="1"/>
  <c r="AC113" i="1"/>
  <c r="CQ113" i="1" s="1"/>
  <c r="AE113" i="1"/>
  <c r="AF113" i="1"/>
  <c r="AG113" i="1"/>
  <c r="AH113" i="1"/>
  <c r="CV113" i="1" s="1"/>
  <c r="AI113" i="1"/>
  <c r="CW113" i="1" s="1"/>
  <c r="AJ113" i="1"/>
  <c r="CX113" i="1" s="1"/>
  <c r="CU113" i="1"/>
  <c r="FR113" i="1"/>
  <c r="GL113" i="1"/>
  <c r="GN113" i="1"/>
  <c r="GO113" i="1"/>
  <c r="GV113" i="1"/>
  <c r="C114" i="1"/>
  <c r="D114" i="1"/>
  <c r="AC114" i="1"/>
  <c r="CQ114" i="1" s="1"/>
  <c r="AE114" i="1"/>
  <c r="AF114" i="1"/>
  <c r="AG114" i="1"/>
  <c r="CU114" i="1" s="1"/>
  <c r="AH114" i="1"/>
  <c r="CV114" i="1" s="1"/>
  <c r="AI114" i="1"/>
  <c r="CW114" i="1" s="1"/>
  <c r="AJ114" i="1"/>
  <c r="CX114" i="1" s="1"/>
  <c r="CR114" i="1"/>
  <c r="CT114" i="1"/>
  <c r="FR114" i="1"/>
  <c r="GL114" i="1"/>
  <c r="GN114" i="1"/>
  <c r="GO114" i="1"/>
  <c r="GV114" i="1"/>
  <c r="C115" i="1"/>
  <c r="D115" i="1"/>
  <c r="I115" i="1"/>
  <c r="CX73" i="3" s="1"/>
  <c r="AC115" i="1"/>
  <c r="CQ115" i="1" s="1"/>
  <c r="AE115" i="1"/>
  <c r="AF115" i="1"/>
  <c r="AG115" i="1"/>
  <c r="CU115" i="1" s="1"/>
  <c r="T115" i="1" s="1"/>
  <c r="AH115" i="1"/>
  <c r="AI115" i="1"/>
  <c r="CW115" i="1" s="1"/>
  <c r="V115" i="1" s="1"/>
  <c r="AJ115" i="1"/>
  <c r="CX115" i="1" s="1"/>
  <c r="CS115" i="1"/>
  <c r="CV115" i="1"/>
  <c r="U115" i="1" s="1"/>
  <c r="K185" i="5" s="1"/>
  <c r="FR115" i="1"/>
  <c r="GL115" i="1"/>
  <c r="GN115" i="1"/>
  <c r="GO115" i="1"/>
  <c r="GV115" i="1"/>
  <c r="GX115" i="1" s="1"/>
  <c r="C116" i="1"/>
  <c r="D116" i="1"/>
  <c r="AC116" i="1"/>
  <c r="AE116" i="1"/>
  <c r="AD116" i="1" s="1"/>
  <c r="AF116" i="1"/>
  <c r="CT116" i="1" s="1"/>
  <c r="AG116" i="1"/>
  <c r="AH116" i="1"/>
  <c r="CV116" i="1" s="1"/>
  <c r="AI116" i="1"/>
  <c r="CW116" i="1" s="1"/>
  <c r="AJ116" i="1"/>
  <c r="CX116" i="1" s="1"/>
  <c r="CQ116" i="1"/>
  <c r="CU116" i="1"/>
  <c r="FR116" i="1"/>
  <c r="GL116" i="1"/>
  <c r="GN116" i="1"/>
  <c r="GO116" i="1"/>
  <c r="GV116" i="1"/>
  <c r="C117" i="1"/>
  <c r="D117" i="1"/>
  <c r="I117" i="1"/>
  <c r="AC117" i="1"/>
  <c r="AE117" i="1"/>
  <c r="U197" i="5" s="1"/>
  <c r="AF117" i="1"/>
  <c r="AG117" i="1"/>
  <c r="CU117" i="1" s="1"/>
  <c r="T117" i="1" s="1"/>
  <c r="AH117" i="1"/>
  <c r="AI117" i="1"/>
  <c r="CW117" i="1" s="1"/>
  <c r="V117" i="1" s="1"/>
  <c r="AJ117" i="1"/>
  <c r="CX117" i="1" s="1"/>
  <c r="CQ117" i="1"/>
  <c r="P117" i="1" s="1"/>
  <c r="J202" i="5" s="1"/>
  <c r="CV117" i="1"/>
  <c r="FR117" i="1"/>
  <c r="GL117" i="1"/>
  <c r="GN117" i="1"/>
  <c r="GO117" i="1"/>
  <c r="GV117" i="1"/>
  <c r="GX117" i="1" s="1"/>
  <c r="B119" i="1"/>
  <c r="B108" i="1" s="1"/>
  <c r="C119" i="1"/>
  <c r="C108" i="1" s="1"/>
  <c r="D119" i="1"/>
  <c r="D108" i="1" s="1"/>
  <c r="F119" i="1"/>
  <c r="F108" i="1" s="1"/>
  <c r="G119" i="1"/>
  <c r="BX119" i="1"/>
  <c r="CK119" i="1"/>
  <c r="CK108" i="1" s="1"/>
  <c r="CL119" i="1"/>
  <c r="CL108" i="1" s="1"/>
  <c r="D148" i="1"/>
  <c r="E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DB150" i="1"/>
  <c r="DC150" i="1"/>
  <c r="DD150" i="1"/>
  <c r="DE150" i="1"/>
  <c r="DF150" i="1"/>
  <c r="DG150" i="1"/>
  <c r="DH150" i="1"/>
  <c r="DI150" i="1"/>
  <c r="DJ150" i="1"/>
  <c r="DK150" i="1"/>
  <c r="DL150" i="1"/>
  <c r="DM150" i="1"/>
  <c r="DN150" i="1"/>
  <c r="DO150" i="1"/>
  <c r="DP150" i="1"/>
  <c r="DQ150" i="1"/>
  <c r="DR150" i="1"/>
  <c r="DS150" i="1"/>
  <c r="DT150" i="1"/>
  <c r="DU150" i="1"/>
  <c r="DV150" i="1"/>
  <c r="DW150" i="1"/>
  <c r="DX150" i="1"/>
  <c r="DY150" i="1"/>
  <c r="DZ150" i="1"/>
  <c r="EA150" i="1"/>
  <c r="EB150" i="1"/>
  <c r="EC150" i="1"/>
  <c r="ED150" i="1"/>
  <c r="EE150" i="1"/>
  <c r="EF150" i="1"/>
  <c r="EG150" i="1"/>
  <c r="EH150" i="1"/>
  <c r="EI150" i="1"/>
  <c r="EJ150" i="1"/>
  <c r="EK150" i="1"/>
  <c r="EL150" i="1"/>
  <c r="EM150" i="1"/>
  <c r="EN150" i="1"/>
  <c r="EO150" i="1"/>
  <c r="EP150" i="1"/>
  <c r="EQ150" i="1"/>
  <c r="ER150" i="1"/>
  <c r="ES150" i="1"/>
  <c r="ET150" i="1"/>
  <c r="EU150" i="1"/>
  <c r="EV150" i="1"/>
  <c r="EW150" i="1"/>
  <c r="EX150" i="1"/>
  <c r="EY150" i="1"/>
  <c r="EZ150" i="1"/>
  <c r="FA150" i="1"/>
  <c r="FB150" i="1"/>
  <c r="FC150" i="1"/>
  <c r="FD150" i="1"/>
  <c r="FE150" i="1"/>
  <c r="FF150" i="1"/>
  <c r="FG150" i="1"/>
  <c r="FH150" i="1"/>
  <c r="FI150" i="1"/>
  <c r="FJ150" i="1"/>
  <c r="FK150" i="1"/>
  <c r="FL150" i="1"/>
  <c r="FM150" i="1"/>
  <c r="FN150" i="1"/>
  <c r="FO150" i="1"/>
  <c r="FP150" i="1"/>
  <c r="FQ150" i="1"/>
  <c r="FR150" i="1"/>
  <c r="FS150" i="1"/>
  <c r="FT150" i="1"/>
  <c r="FU150" i="1"/>
  <c r="FV150" i="1"/>
  <c r="FW150" i="1"/>
  <c r="FX150" i="1"/>
  <c r="FY150" i="1"/>
  <c r="FZ150" i="1"/>
  <c r="GA150" i="1"/>
  <c r="GB150" i="1"/>
  <c r="GC150" i="1"/>
  <c r="GD150" i="1"/>
  <c r="GE150" i="1"/>
  <c r="GF150" i="1"/>
  <c r="GG150" i="1"/>
  <c r="GH150" i="1"/>
  <c r="GI150" i="1"/>
  <c r="GJ150" i="1"/>
  <c r="GK150" i="1"/>
  <c r="GL150" i="1"/>
  <c r="GM150" i="1"/>
  <c r="GN150" i="1"/>
  <c r="GO150" i="1"/>
  <c r="GP150" i="1"/>
  <c r="GQ150" i="1"/>
  <c r="GR150" i="1"/>
  <c r="GS150" i="1"/>
  <c r="GT150" i="1"/>
  <c r="GU150" i="1"/>
  <c r="GV150" i="1"/>
  <c r="GW150" i="1"/>
  <c r="GX150" i="1"/>
  <c r="D152" i="1"/>
  <c r="E154" i="1"/>
  <c r="Z154" i="1"/>
  <c r="AA154" i="1"/>
  <c r="AM154" i="1"/>
  <c r="AN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DB154" i="1"/>
  <c r="DC154" i="1"/>
  <c r="DD154" i="1"/>
  <c r="DE154" i="1"/>
  <c r="DF154" i="1"/>
  <c r="DG154" i="1"/>
  <c r="DH154" i="1"/>
  <c r="DI154" i="1"/>
  <c r="DJ154" i="1"/>
  <c r="DK154" i="1"/>
  <c r="DL154" i="1"/>
  <c r="DM154" i="1"/>
  <c r="DN154" i="1"/>
  <c r="DO154" i="1"/>
  <c r="DP154" i="1"/>
  <c r="DQ154" i="1"/>
  <c r="DR154" i="1"/>
  <c r="DS154" i="1"/>
  <c r="DT154" i="1"/>
  <c r="DU154" i="1"/>
  <c r="DV154" i="1"/>
  <c r="DW154" i="1"/>
  <c r="DX154" i="1"/>
  <c r="DY154" i="1"/>
  <c r="DZ154" i="1"/>
  <c r="EA154" i="1"/>
  <c r="EB154" i="1"/>
  <c r="EC154" i="1"/>
  <c r="ED154" i="1"/>
  <c r="EE154" i="1"/>
  <c r="EF154" i="1"/>
  <c r="EG154" i="1"/>
  <c r="EH154" i="1"/>
  <c r="EI154" i="1"/>
  <c r="EJ154" i="1"/>
  <c r="EK154" i="1"/>
  <c r="EL154" i="1"/>
  <c r="EM154" i="1"/>
  <c r="EN154" i="1"/>
  <c r="EO154" i="1"/>
  <c r="EP154" i="1"/>
  <c r="EQ154" i="1"/>
  <c r="ER154" i="1"/>
  <c r="ES154" i="1"/>
  <c r="ET154" i="1"/>
  <c r="EU154" i="1"/>
  <c r="EV154" i="1"/>
  <c r="EW154" i="1"/>
  <c r="EX154" i="1"/>
  <c r="EY154" i="1"/>
  <c r="EZ154" i="1"/>
  <c r="FA154" i="1"/>
  <c r="FB154" i="1"/>
  <c r="FC154" i="1"/>
  <c r="FD154" i="1"/>
  <c r="FE154" i="1"/>
  <c r="FF154" i="1"/>
  <c r="FG154" i="1"/>
  <c r="FH154" i="1"/>
  <c r="FI154" i="1"/>
  <c r="FJ154" i="1"/>
  <c r="FK154" i="1"/>
  <c r="FL154" i="1"/>
  <c r="FM154" i="1"/>
  <c r="FN154" i="1"/>
  <c r="FO154" i="1"/>
  <c r="FP154" i="1"/>
  <c r="FQ154" i="1"/>
  <c r="FR154" i="1"/>
  <c r="FS154" i="1"/>
  <c r="FT154" i="1"/>
  <c r="FU154" i="1"/>
  <c r="FV154" i="1"/>
  <c r="FW154" i="1"/>
  <c r="FX154" i="1"/>
  <c r="FY154" i="1"/>
  <c r="FZ154" i="1"/>
  <c r="GA154" i="1"/>
  <c r="GB154" i="1"/>
  <c r="GC154" i="1"/>
  <c r="GD154" i="1"/>
  <c r="GE154" i="1"/>
  <c r="GF154" i="1"/>
  <c r="GG154" i="1"/>
  <c r="GH154" i="1"/>
  <c r="GI154" i="1"/>
  <c r="GJ154" i="1"/>
  <c r="GK154" i="1"/>
  <c r="GL154" i="1"/>
  <c r="GM154" i="1"/>
  <c r="GN154" i="1"/>
  <c r="GO154" i="1"/>
  <c r="GP154" i="1"/>
  <c r="GQ154" i="1"/>
  <c r="GR154" i="1"/>
  <c r="GS154" i="1"/>
  <c r="GT154" i="1"/>
  <c r="GU154" i="1"/>
  <c r="GV154" i="1"/>
  <c r="GW154" i="1"/>
  <c r="GX154" i="1"/>
  <c r="C156" i="1"/>
  <c r="D156" i="1"/>
  <c r="I156" i="1"/>
  <c r="AC156" i="1"/>
  <c r="CQ156" i="1" s="1"/>
  <c r="P156" i="1" s="1"/>
  <c r="J219" i="5" s="1"/>
  <c r="AE156" i="1"/>
  <c r="AD156" i="1" s="1"/>
  <c r="AF156" i="1"/>
  <c r="AG156" i="1"/>
  <c r="CU156" i="1" s="1"/>
  <c r="T156" i="1" s="1"/>
  <c r="AH156" i="1"/>
  <c r="CV156" i="1" s="1"/>
  <c r="U156" i="1" s="1"/>
  <c r="K223" i="5" s="1"/>
  <c r="AI156" i="1"/>
  <c r="CW156" i="1" s="1"/>
  <c r="V156" i="1" s="1"/>
  <c r="AJ156" i="1"/>
  <c r="CX156" i="1" s="1"/>
  <c r="W156" i="1" s="1"/>
  <c r="CR156" i="1"/>
  <c r="Q156" i="1" s="1"/>
  <c r="FR156" i="1"/>
  <c r="GL156" i="1"/>
  <c r="GN156" i="1"/>
  <c r="GO156" i="1"/>
  <c r="GV156" i="1"/>
  <c r="GX156" i="1" s="1"/>
  <c r="C157" i="1"/>
  <c r="D157" i="1"/>
  <c r="AC157" i="1"/>
  <c r="AE157" i="1"/>
  <c r="U225" i="5" s="1"/>
  <c r="AF157" i="1"/>
  <c r="AG157" i="1"/>
  <c r="CU157" i="1" s="1"/>
  <c r="T157" i="1" s="1"/>
  <c r="AH157" i="1"/>
  <c r="CV157" i="1" s="1"/>
  <c r="U157" i="1" s="1"/>
  <c r="AI157" i="1"/>
  <c r="AJ157" i="1"/>
  <c r="CX157" i="1" s="1"/>
  <c r="W157" i="1" s="1"/>
  <c r="CR157" i="1"/>
  <c r="Q157" i="1" s="1"/>
  <c r="J226" i="5" s="1"/>
  <c r="I228" i="5" s="1"/>
  <c r="CW157" i="1"/>
  <c r="V157" i="1" s="1"/>
  <c r="FR157" i="1"/>
  <c r="GL157" i="1"/>
  <c r="GN157" i="1"/>
  <c r="GO157" i="1"/>
  <c r="GV157" i="1"/>
  <c r="GX157" i="1" s="1"/>
  <c r="C158" i="1"/>
  <c r="D158" i="1"/>
  <c r="I158" i="1"/>
  <c r="AC158" i="1"/>
  <c r="AE158" i="1"/>
  <c r="AF158" i="1"/>
  <c r="AG158" i="1"/>
  <c r="CU158" i="1" s="1"/>
  <c r="T158" i="1" s="1"/>
  <c r="AH158" i="1"/>
  <c r="CV158" i="1" s="1"/>
  <c r="AI158" i="1"/>
  <c r="CW158" i="1" s="1"/>
  <c r="V158" i="1" s="1"/>
  <c r="AJ158" i="1"/>
  <c r="CX158" i="1" s="1"/>
  <c r="CQ158" i="1"/>
  <c r="P158" i="1" s="1"/>
  <c r="FR158" i="1"/>
  <c r="GL158" i="1"/>
  <c r="GN158" i="1"/>
  <c r="CB160" i="1" s="1"/>
  <c r="CB154" i="1" s="1"/>
  <c r="GO158" i="1"/>
  <c r="GV158" i="1"/>
  <c r="B160" i="1"/>
  <c r="B154" i="1" s="1"/>
  <c r="C160" i="1"/>
  <c r="C154" i="1" s="1"/>
  <c r="D160" i="1"/>
  <c r="D154" i="1" s="1"/>
  <c r="F160" i="1"/>
  <c r="F154" i="1" s="1"/>
  <c r="G160" i="1"/>
  <c r="BX160" i="1"/>
  <c r="CC160" i="1"/>
  <c r="CK160" i="1"/>
  <c r="CL160" i="1"/>
  <c r="CL154" i="1" s="1"/>
  <c r="D189" i="1"/>
  <c r="E191" i="1"/>
  <c r="Z191" i="1"/>
  <c r="AA191" i="1"/>
  <c r="AM191" i="1"/>
  <c r="AN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DB191" i="1"/>
  <c r="DC191" i="1"/>
  <c r="DD191" i="1"/>
  <c r="DE191" i="1"/>
  <c r="DF191" i="1"/>
  <c r="DG191" i="1"/>
  <c r="DH191" i="1"/>
  <c r="DI191" i="1"/>
  <c r="DJ191" i="1"/>
  <c r="DK191" i="1"/>
  <c r="DL191" i="1"/>
  <c r="DM191" i="1"/>
  <c r="DN191" i="1"/>
  <c r="DO191" i="1"/>
  <c r="DP191" i="1"/>
  <c r="DQ191" i="1"/>
  <c r="DR191" i="1"/>
  <c r="DS191" i="1"/>
  <c r="DT191" i="1"/>
  <c r="DU191" i="1"/>
  <c r="DV191" i="1"/>
  <c r="DW191" i="1"/>
  <c r="DX191" i="1"/>
  <c r="DY191" i="1"/>
  <c r="DZ191" i="1"/>
  <c r="EA191" i="1"/>
  <c r="EB191" i="1"/>
  <c r="EC191" i="1"/>
  <c r="ED191" i="1"/>
  <c r="EE191" i="1"/>
  <c r="EF191" i="1"/>
  <c r="EG191" i="1"/>
  <c r="EH191" i="1"/>
  <c r="EI191" i="1"/>
  <c r="EJ191" i="1"/>
  <c r="EK191" i="1"/>
  <c r="EL191" i="1"/>
  <c r="EM191" i="1"/>
  <c r="EN191" i="1"/>
  <c r="EO191" i="1"/>
  <c r="EP191" i="1"/>
  <c r="EQ191" i="1"/>
  <c r="ER191" i="1"/>
  <c r="ES191" i="1"/>
  <c r="ET191" i="1"/>
  <c r="EU191" i="1"/>
  <c r="EV191" i="1"/>
  <c r="EW191" i="1"/>
  <c r="EX191" i="1"/>
  <c r="EY191" i="1"/>
  <c r="EZ191" i="1"/>
  <c r="FA191" i="1"/>
  <c r="FB191" i="1"/>
  <c r="FC191" i="1"/>
  <c r="FD191" i="1"/>
  <c r="FE191" i="1"/>
  <c r="FF191" i="1"/>
  <c r="FG191" i="1"/>
  <c r="FH191" i="1"/>
  <c r="FI191" i="1"/>
  <c r="FJ191" i="1"/>
  <c r="FK191" i="1"/>
  <c r="FL191" i="1"/>
  <c r="FM191" i="1"/>
  <c r="FN191" i="1"/>
  <c r="FO191" i="1"/>
  <c r="FP191" i="1"/>
  <c r="FQ191" i="1"/>
  <c r="FR191" i="1"/>
  <c r="FS191" i="1"/>
  <c r="FT191" i="1"/>
  <c r="FU191" i="1"/>
  <c r="FV191" i="1"/>
  <c r="FW191" i="1"/>
  <c r="FX191" i="1"/>
  <c r="FY191" i="1"/>
  <c r="FZ191" i="1"/>
  <c r="GA191" i="1"/>
  <c r="GB191" i="1"/>
  <c r="GC191" i="1"/>
  <c r="GD191" i="1"/>
  <c r="GE191" i="1"/>
  <c r="GF191" i="1"/>
  <c r="GG191" i="1"/>
  <c r="GH191" i="1"/>
  <c r="GI191" i="1"/>
  <c r="GJ191" i="1"/>
  <c r="GK191" i="1"/>
  <c r="GL191" i="1"/>
  <c r="GM191" i="1"/>
  <c r="GN191" i="1"/>
  <c r="GO191" i="1"/>
  <c r="GP191" i="1"/>
  <c r="GQ191" i="1"/>
  <c r="GR191" i="1"/>
  <c r="GS191" i="1"/>
  <c r="GT191" i="1"/>
  <c r="GU191" i="1"/>
  <c r="GV191" i="1"/>
  <c r="GW191" i="1"/>
  <c r="GX191" i="1"/>
  <c r="C193" i="1"/>
  <c r="D193" i="1"/>
  <c r="I193" i="1"/>
  <c r="AC193" i="1"/>
  <c r="CQ193" i="1" s="1"/>
  <c r="P193" i="1" s="1"/>
  <c r="AE193" i="1"/>
  <c r="U238" i="5" s="1"/>
  <c r="AF193" i="1"/>
  <c r="AG193" i="1"/>
  <c r="CU193" i="1" s="1"/>
  <c r="T193" i="1" s="1"/>
  <c r="AH193" i="1"/>
  <c r="CV193" i="1" s="1"/>
  <c r="AI193" i="1"/>
  <c r="CW193" i="1" s="1"/>
  <c r="V193" i="1" s="1"/>
  <c r="AJ193" i="1"/>
  <c r="CX193" i="1" s="1"/>
  <c r="FR193" i="1"/>
  <c r="GL193" i="1"/>
  <c r="GN193" i="1"/>
  <c r="GO193" i="1"/>
  <c r="GV193" i="1"/>
  <c r="C194" i="1"/>
  <c r="D194" i="1"/>
  <c r="AC194" i="1"/>
  <c r="CQ194" i="1" s="1"/>
  <c r="P194" i="1" s="1"/>
  <c r="AE194" i="1"/>
  <c r="U248" i="5" s="1"/>
  <c r="AF194" i="1"/>
  <c r="AG194" i="1"/>
  <c r="CU194" i="1" s="1"/>
  <c r="T194" i="1" s="1"/>
  <c r="AH194" i="1"/>
  <c r="CV194" i="1" s="1"/>
  <c r="U194" i="1" s="1"/>
  <c r="AI194" i="1"/>
  <c r="CW194" i="1" s="1"/>
  <c r="V194" i="1" s="1"/>
  <c r="AJ194" i="1"/>
  <c r="CX194" i="1" s="1"/>
  <c r="W194" i="1" s="1"/>
  <c r="CS194" i="1"/>
  <c r="V248" i="5" s="1"/>
  <c r="J251" i="5" s="1"/>
  <c r="FR194" i="1"/>
  <c r="GL194" i="1"/>
  <c r="GN194" i="1"/>
  <c r="GO194" i="1"/>
  <c r="GV194" i="1"/>
  <c r="GX194" i="1" s="1"/>
  <c r="C195" i="1"/>
  <c r="D195" i="1"/>
  <c r="I195" i="1"/>
  <c r="AC195" i="1"/>
  <c r="AE195" i="1"/>
  <c r="AD195" i="1" s="1"/>
  <c r="AF195" i="1"/>
  <c r="AG195" i="1"/>
  <c r="AH195" i="1"/>
  <c r="CV195" i="1" s="1"/>
  <c r="U195" i="1" s="1"/>
  <c r="AI195" i="1"/>
  <c r="CW195" i="1" s="1"/>
  <c r="AJ195" i="1"/>
  <c r="CX195" i="1" s="1"/>
  <c r="W195" i="1" s="1"/>
  <c r="CQ195" i="1"/>
  <c r="CU195" i="1"/>
  <c r="FR195" i="1"/>
  <c r="GL195" i="1"/>
  <c r="GN195" i="1"/>
  <c r="GO195" i="1"/>
  <c r="GV195" i="1"/>
  <c r="GX195" i="1" s="1"/>
  <c r="C196" i="1"/>
  <c r="D196" i="1"/>
  <c r="AC196" i="1"/>
  <c r="CQ196" i="1" s="1"/>
  <c r="AE196" i="1"/>
  <c r="AF196" i="1"/>
  <c r="AG196" i="1"/>
  <c r="CU196" i="1" s="1"/>
  <c r="AH196" i="1"/>
  <c r="CV196" i="1" s="1"/>
  <c r="AI196" i="1"/>
  <c r="AJ196" i="1"/>
  <c r="CR196" i="1"/>
  <c r="CS196" i="1"/>
  <c r="CW196" i="1"/>
  <c r="CX196" i="1"/>
  <c r="FR196" i="1"/>
  <c r="GL196" i="1"/>
  <c r="GN196" i="1"/>
  <c r="GO196" i="1"/>
  <c r="GV196" i="1"/>
  <c r="C197" i="1"/>
  <c r="D197" i="1"/>
  <c r="AC197" i="1"/>
  <c r="CQ197" i="1" s="1"/>
  <c r="AE197" i="1"/>
  <c r="AF197" i="1"/>
  <c r="AG197" i="1"/>
  <c r="CU197" i="1" s="1"/>
  <c r="AH197" i="1"/>
  <c r="AI197" i="1"/>
  <c r="CW197" i="1" s="1"/>
  <c r="AJ197" i="1"/>
  <c r="CX197" i="1" s="1"/>
  <c r="CR197" i="1"/>
  <c r="CV197" i="1"/>
  <c r="FR197" i="1"/>
  <c r="GL197" i="1"/>
  <c r="GN197" i="1"/>
  <c r="GO197" i="1"/>
  <c r="GV197" i="1"/>
  <c r="B199" i="1"/>
  <c r="B191" i="1" s="1"/>
  <c r="C199" i="1"/>
  <c r="C191" i="1" s="1"/>
  <c r="D199" i="1"/>
  <c r="D191" i="1" s="1"/>
  <c r="F199" i="1"/>
  <c r="F191" i="1" s="1"/>
  <c r="G199" i="1"/>
  <c r="BX199" i="1"/>
  <c r="BX191" i="1" s="1"/>
  <c r="CK199" i="1"/>
  <c r="CK191" i="1" s="1"/>
  <c r="CL199" i="1"/>
  <c r="B228" i="1"/>
  <c r="B150" i="1" s="1"/>
  <c r="C228" i="1"/>
  <c r="C150" i="1" s="1"/>
  <c r="D228" i="1"/>
  <c r="D150" i="1" s="1"/>
  <c r="F228" i="1"/>
  <c r="F150" i="1" s="1"/>
  <c r="G228" i="1"/>
  <c r="D257" i="1"/>
  <c r="E259" i="1"/>
  <c r="Z259" i="1"/>
  <c r="AA259" i="1"/>
  <c r="AM259" i="1"/>
  <c r="AN259" i="1"/>
  <c r="BD259" i="1"/>
  <c r="BE259" i="1"/>
  <c r="BF259" i="1"/>
  <c r="BG259" i="1"/>
  <c r="BH259" i="1"/>
  <c r="BI259" i="1"/>
  <c r="BJ259" i="1"/>
  <c r="BK259" i="1"/>
  <c r="BL259" i="1"/>
  <c r="BM259" i="1"/>
  <c r="BN259" i="1"/>
  <c r="BO259" i="1"/>
  <c r="BP259" i="1"/>
  <c r="BQ259" i="1"/>
  <c r="BR259" i="1"/>
  <c r="BS259" i="1"/>
  <c r="BT259" i="1"/>
  <c r="BU259" i="1"/>
  <c r="BV259" i="1"/>
  <c r="BW259" i="1"/>
  <c r="CM259" i="1"/>
  <c r="CN259" i="1"/>
  <c r="CO259" i="1"/>
  <c r="CP259" i="1"/>
  <c r="CQ259" i="1"/>
  <c r="CR259" i="1"/>
  <c r="CS259" i="1"/>
  <c r="CT259" i="1"/>
  <c r="CU259" i="1"/>
  <c r="CV259" i="1"/>
  <c r="CW259" i="1"/>
  <c r="CX259" i="1"/>
  <c r="CY259" i="1"/>
  <c r="CZ259" i="1"/>
  <c r="DA259" i="1"/>
  <c r="DB259" i="1"/>
  <c r="DC259" i="1"/>
  <c r="DD259" i="1"/>
  <c r="DE259" i="1"/>
  <c r="DF259" i="1"/>
  <c r="DG259" i="1"/>
  <c r="DH259" i="1"/>
  <c r="DI259" i="1"/>
  <c r="DJ259" i="1"/>
  <c r="DK259" i="1"/>
  <c r="DL259" i="1"/>
  <c r="DM259" i="1"/>
  <c r="DN259" i="1"/>
  <c r="DO259" i="1"/>
  <c r="DP259" i="1"/>
  <c r="DQ259" i="1"/>
  <c r="DR259" i="1"/>
  <c r="DS259" i="1"/>
  <c r="DT259" i="1"/>
  <c r="DU259" i="1"/>
  <c r="DV259" i="1"/>
  <c r="DW259" i="1"/>
  <c r="DX259" i="1"/>
  <c r="DY259" i="1"/>
  <c r="DZ259" i="1"/>
  <c r="EA259" i="1"/>
  <c r="EB259" i="1"/>
  <c r="EC259" i="1"/>
  <c r="ED259" i="1"/>
  <c r="EE259" i="1"/>
  <c r="EF259" i="1"/>
  <c r="EG259" i="1"/>
  <c r="EH259" i="1"/>
  <c r="EI259" i="1"/>
  <c r="EJ259" i="1"/>
  <c r="EK259" i="1"/>
  <c r="EL259" i="1"/>
  <c r="EM259" i="1"/>
  <c r="EN259" i="1"/>
  <c r="EO259" i="1"/>
  <c r="EP259" i="1"/>
  <c r="EQ259" i="1"/>
  <c r="ER259" i="1"/>
  <c r="ES259" i="1"/>
  <c r="ET259" i="1"/>
  <c r="EU259" i="1"/>
  <c r="EV259" i="1"/>
  <c r="EW259" i="1"/>
  <c r="EX259" i="1"/>
  <c r="EY259" i="1"/>
  <c r="EZ259" i="1"/>
  <c r="FA259" i="1"/>
  <c r="FB259" i="1"/>
  <c r="FC259" i="1"/>
  <c r="FD259" i="1"/>
  <c r="FE259" i="1"/>
  <c r="FF259" i="1"/>
  <c r="FG259" i="1"/>
  <c r="FH259" i="1"/>
  <c r="FI259" i="1"/>
  <c r="FJ259" i="1"/>
  <c r="FK259" i="1"/>
  <c r="FL259" i="1"/>
  <c r="FM259" i="1"/>
  <c r="FN259" i="1"/>
  <c r="FO259" i="1"/>
  <c r="FP259" i="1"/>
  <c r="FQ259" i="1"/>
  <c r="FR259" i="1"/>
  <c r="FS259" i="1"/>
  <c r="FT259" i="1"/>
  <c r="FU259" i="1"/>
  <c r="FV259" i="1"/>
  <c r="FW259" i="1"/>
  <c r="FX259" i="1"/>
  <c r="FY259" i="1"/>
  <c r="FZ259" i="1"/>
  <c r="GA259" i="1"/>
  <c r="GB259" i="1"/>
  <c r="GC259" i="1"/>
  <c r="GD259" i="1"/>
  <c r="GE259" i="1"/>
  <c r="GF259" i="1"/>
  <c r="GG259" i="1"/>
  <c r="GH259" i="1"/>
  <c r="GI259" i="1"/>
  <c r="GJ259" i="1"/>
  <c r="GK259" i="1"/>
  <c r="GL259" i="1"/>
  <c r="GM259" i="1"/>
  <c r="GN259" i="1"/>
  <c r="GO259" i="1"/>
  <c r="GP259" i="1"/>
  <c r="GQ259" i="1"/>
  <c r="GR259" i="1"/>
  <c r="GS259" i="1"/>
  <c r="GT259" i="1"/>
  <c r="GU259" i="1"/>
  <c r="GV259" i="1"/>
  <c r="GW259" i="1"/>
  <c r="GX259" i="1"/>
  <c r="C261" i="1"/>
  <c r="D261" i="1"/>
  <c r="I261" i="1"/>
  <c r="I262" i="1" s="1"/>
  <c r="AC261" i="1"/>
  <c r="CQ261" i="1" s="1"/>
  <c r="AE261" i="1"/>
  <c r="AF261" i="1"/>
  <c r="AG261" i="1"/>
  <c r="AH261" i="1"/>
  <c r="CV261" i="1" s="1"/>
  <c r="AI261" i="1"/>
  <c r="CW261" i="1" s="1"/>
  <c r="AJ261" i="1"/>
  <c r="CX261" i="1" s="1"/>
  <c r="CU261" i="1"/>
  <c r="FR261" i="1"/>
  <c r="GL261" i="1"/>
  <c r="GN261" i="1"/>
  <c r="GO261" i="1"/>
  <c r="GV261" i="1"/>
  <c r="C262" i="1"/>
  <c r="D262" i="1"/>
  <c r="AC262" i="1"/>
  <c r="CQ262" i="1" s="1"/>
  <c r="AE262" i="1"/>
  <c r="AF262" i="1"/>
  <c r="AG262" i="1"/>
  <c r="CU262" i="1" s="1"/>
  <c r="AH262" i="1"/>
  <c r="CV262" i="1" s="1"/>
  <c r="AI262" i="1"/>
  <c r="CW262" i="1" s="1"/>
  <c r="AJ262" i="1"/>
  <c r="CX262" i="1" s="1"/>
  <c r="FR262" i="1"/>
  <c r="GL262" i="1"/>
  <c r="GN262" i="1"/>
  <c r="GO262" i="1"/>
  <c r="GV262" i="1"/>
  <c r="C263" i="1"/>
  <c r="D263" i="1"/>
  <c r="AC263" i="1"/>
  <c r="AE263" i="1"/>
  <c r="AF263" i="1"/>
  <c r="AG263" i="1"/>
  <c r="CU263" i="1" s="1"/>
  <c r="AH263" i="1"/>
  <c r="CV263" i="1" s="1"/>
  <c r="AI263" i="1"/>
  <c r="CW263" i="1" s="1"/>
  <c r="AJ263" i="1"/>
  <c r="CR263" i="1"/>
  <c r="CX263" i="1"/>
  <c r="FR263" i="1"/>
  <c r="GL263" i="1"/>
  <c r="GN263" i="1"/>
  <c r="GO263" i="1"/>
  <c r="GV263" i="1"/>
  <c r="C264" i="1"/>
  <c r="D264" i="1"/>
  <c r="I264" i="1"/>
  <c r="AC264" i="1"/>
  <c r="CQ264" i="1" s="1"/>
  <c r="P264" i="1" s="1"/>
  <c r="J303" i="5" s="1"/>
  <c r="AE264" i="1"/>
  <c r="AF264" i="1"/>
  <c r="AG264" i="1"/>
  <c r="CU264" i="1" s="1"/>
  <c r="AH264" i="1"/>
  <c r="CV264" i="1" s="1"/>
  <c r="U264" i="1" s="1"/>
  <c r="K307" i="5" s="1"/>
  <c r="AI264" i="1"/>
  <c r="CW264" i="1" s="1"/>
  <c r="V264" i="1" s="1"/>
  <c r="AJ264" i="1"/>
  <c r="CX264" i="1" s="1"/>
  <c r="CS264" i="1"/>
  <c r="FR264" i="1"/>
  <c r="GL264" i="1"/>
  <c r="GN264" i="1"/>
  <c r="GO264" i="1"/>
  <c r="GV264" i="1"/>
  <c r="GX264" i="1" s="1"/>
  <c r="C265" i="1"/>
  <c r="D265" i="1"/>
  <c r="I265" i="1"/>
  <c r="AC265" i="1"/>
  <c r="AE265" i="1"/>
  <c r="U309" i="5" s="1"/>
  <c r="AF265" i="1"/>
  <c r="CT265" i="1" s="1"/>
  <c r="S265" i="1" s="1"/>
  <c r="J310" i="5" s="1"/>
  <c r="AG265" i="1"/>
  <c r="CU265" i="1" s="1"/>
  <c r="T265" i="1" s="1"/>
  <c r="AH265" i="1"/>
  <c r="CV265" i="1" s="1"/>
  <c r="U265" i="1" s="1"/>
  <c r="K317" i="5" s="1"/>
  <c r="AI265" i="1"/>
  <c r="CW265" i="1" s="1"/>
  <c r="V265" i="1" s="1"/>
  <c r="AJ265" i="1"/>
  <c r="CX265" i="1" s="1"/>
  <c r="FR265" i="1"/>
  <c r="GL265" i="1"/>
  <c r="GN265" i="1"/>
  <c r="GO265" i="1"/>
  <c r="GV265" i="1"/>
  <c r="GX265" i="1" s="1"/>
  <c r="C266" i="1"/>
  <c r="D266" i="1"/>
  <c r="I266" i="1"/>
  <c r="AC266" i="1"/>
  <c r="AE266" i="1"/>
  <c r="AF266" i="1"/>
  <c r="AG266" i="1"/>
  <c r="CU266" i="1" s="1"/>
  <c r="T266" i="1" s="1"/>
  <c r="AH266" i="1"/>
  <c r="CV266" i="1" s="1"/>
  <c r="AI266" i="1"/>
  <c r="CW266" i="1" s="1"/>
  <c r="V266" i="1" s="1"/>
  <c r="AJ266" i="1"/>
  <c r="CQ266" i="1"/>
  <c r="P266" i="1" s="1"/>
  <c r="J324" i="5" s="1"/>
  <c r="CT266" i="1"/>
  <c r="CX266" i="1"/>
  <c r="W266" i="1" s="1"/>
  <c r="FR266" i="1"/>
  <c r="GL266" i="1"/>
  <c r="GN266" i="1"/>
  <c r="GO266" i="1"/>
  <c r="GV266" i="1"/>
  <c r="C267" i="1"/>
  <c r="D267" i="1"/>
  <c r="I267" i="1"/>
  <c r="I268" i="1" s="1"/>
  <c r="AC267" i="1"/>
  <c r="AE267" i="1"/>
  <c r="AF267" i="1"/>
  <c r="AG267" i="1"/>
  <c r="CU267" i="1" s="1"/>
  <c r="T267" i="1" s="1"/>
  <c r="AH267" i="1"/>
  <c r="AI267" i="1"/>
  <c r="CW267" i="1" s="1"/>
  <c r="V267" i="1" s="1"/>
  <c r="AJ267" i="1"/>
  <c r="CX267" i="1" s="1"/>
  <c r="CQ267" i="1"/>
  <c r="P267" i="1" s="1"/>
  <c r="J334" i="5" s="1"/>
  <c r="CV267" i="1"/>
  <c r="FR267" i="1"/>
  <c r="GL267" i="1"/>
  <c r="GN267" i="1"/>
  <c r="GO267" i="1"/>
  <c r="GV267" i="1"/>
  <c r="GX267" i="1" s="1"/>
  <c r="C268" i="1"/>
  <c r="D268" i="1"/>
  <c r="AC268" i="1"/>
  <c r="CQ268" i="1" s="1"/>
  <c r="AE268" i="1"/>
  <c r="AF268" i="1"/>
  <c r="AG268" i="1"/>
  <c r="CU268" i="1" s="1"/>
  <c r="AH268" i="1"/>
  <c r="CV268" i="1" s="1"/>
  <c r="AI268" i="1"/>
  <c r="CW268" i="1" s="1"/>
  <c r="AJ268" i="1"/>
  <c r="CX268" i="1" s="1"/>
  <c r="FR268" i="1"/>
  <c r="GL268" i="1"/>
  <c r="GN268" i="1"/>
  <c r="GO268" i="1"/>
  <c r="GV268" i="1"/>
  <c r="C269" i="1"/>
  <c r="D269" i="1"/>
  <c r="AC269" i="1"/>
  <c r="AE269" i="1"/>
  <c r="AD269" i="1" s="1"/>
  <c r="AF269" i="1"/>
  <c r="AG269" i="1"/>
  <c r="CU269" i="1" s="1"/>
  <c r="T269" i="1" s="1"/>
  <c r="AH269" i="1"/>
  <c r="CV269" i="1" s="1"/>
  <c r="U269" i="1" s="1"/>
  <c r="K358" i="5" s="1"/>
  <c r="AI269" i="1"/>
  <c r="CW269" i="1" s="1"/>
  <c r="V269" i="1" s="1"/>
  <c r="AJ269" i="1"/>
  <c r="CX269" i="1" s="1"/>
  <c r="W269" i="1" s="1"/>
  <c r="CQ269" i="1"/>
  <c r="P269" i="1" s="1"/>
  <c r="J354" i="5" s="1"/>
  <c r="FR269" i="1"/>
  <c r="GL269" i="1"/>
  <c r="GN269" i="1"/>
  <c r="GO269" i="1"/>
  <c r="GV269" i="1"/>
  <c r="GX269" i="1" s="1"/>
  <c r="B271" i="1"/>
  <c r="B259" i="1" s="1"/>
  <c r="C271" i="1"/>
  <c r="C259" i="1" s="1"/>
  <c r="D271" i="1"/>
  <c r="D259" i="1" s="1"/>
  <c r="F271" i="1"/>
  <c r="F259" i="1" s="1"/>
  <c r="G271" i="1"/>
  <c r="BX271" i="1"/>
  <c r="AO271" i="1" s="1"/>
  <c r="CK271" i="1"/>
  <c r="CK259" i="1" s="1"/>
  <c r="CL271" i="1"/>
  <c r="D300" i="1"/>
  <c r="E302" i="1"/>
  <c r="Z302" i="1"/>
  <c r="AA302" i="1"/>
  <c r="AM302" i="1"/>
  <c r="AN302" i="1"/>
  <c r="BD302" i="1"/>
  <c r="BE302" i="1"/>
  <c r="BF302" i="1"/>
  <c r="BG302" i="1"/>
  <c r="BH302" i="1"/>
  <c r="BI302" i="1"/>
  <c r="BJ302" i="1"/>
  <c r="BK302" i="1"/>
  <c r="BL302" i="1"/>
  <c r="BM302" i="1"/>
  <c r="BN302" i="1"/>
  <c r="BO302" i="1"/>
  <c r="BP302" i="1"/>
  <c r="BQ302" i="1"/>
  <c r="BR302" i="1"/>
  <c r="BS302" i="1"/>
  <c r="BT302" i="1"/>
  <c r="BU302" i="1"/>
  <c r="BV302" i="1"/>
  <c r="BW302" i="1"/>
  <c r="CM302" i="1"/>
  <c r="CN302" i="1"/>
  <c r="CO302" i="1"/>
  <c r="CP302" i="1"/>
  <c r="CQ302" i="1"/>
  <c r="CR302" i="1"/>
  <c r="CS302" i="1"/>
  <c r="CT302" i="1"/>
  <c r="CU302" i="1"/>
  <c r="CV302" i="1"/>
  <c r="CW302" i="1"/>
  <c r="CX302" i="1"/>
  <c r="CY302" i="1"/>
  <c r="CZ302" i="1"/>
  <c r="DA302" i="1"/>
  <c r="DB302" i="1"/>
  <c r="DC302" i="1"/>
  <c r="DD302" i="1"/>
  <c r="DE302" i="1"/>
  <c r="DF302" i="1"/>
  <c r="DG302" i="1"/>
  <c r="DH302" i="1"/>
  <c r="DI302" i="1"/>
  <c r="DJ302" i="1"/>
  <c r="DK302" i="1"/>
  <c r="DL302" i="1"/>
  <c r="DM302" i="1"/>
  <c r="DN302" i="1"/>
  <c r="DO302" i="1"/>
  <c r="DP302" i="1"/>
  <c r="DQ302" i="1"/>
  <c r="DR302" i="1"/>
  <c r="DS302" i="1"/>
  <c r="DT302" i="1"/>
  <c r="DU302" i="1"/>
  <c r="DV302" i="1"/>
  <c r="DW302" i="1"/>
  <c r="DX302" i="1"/>
  <c r="DY302" i="1"/>
  <c r="DZ302" i="1"/>
  <c r="EA302" i="1"/>
  <c r="EB302" i="1"/>
  <c r="EC302" i="1"/>
  <c r="ED302" i="1"/>
  <c r="EE302" i="1"/>
  <c r="EF302" i="1"/>
  <c r="EG302" i="1"/>
  <c r="EH302" i="1"/>
  <c r="EI302" i="1"/>
  <c r="EJ302" i="1"/>
  <c r="EK302" i="1"/>
  <c r="EL302" i="1"/>
  <c r="EM302" i="1"/>
  <c r="EN302" i="1"/>
  <c r="EO302" i="1"/>
  <c r="EP302" i="1"/>
  <c r="EQ302" i="1"/>
  <c r="ER302" i="1"/>
  <c r="ES302" i="1"/>
  <c r="ET302" i="1"/>
  <c r="EU302" i="1"/>
  <c r="EV302" i="1"/>
  <c r="EW302" i="1"/>
  <c r="EX302" i="1"/>
  <c r="EY302" i="1"/>
  <c r="EZ302" i="1"/>
  <c r="FA302" i="1"/>
  <c r="FB302" i="1"/>
  <c r="FC302" i="1"/>
  <c r="FD302" i="1"/>
  <c r="FE302" i="1"/>
  <c r="FF302" i="1"/>
  <c r="FG302" i="1"/>
  <c r="FH302" i="1"/>
  <c r="FI302" i="1"/>
  <c r="FJ302" i="1"/>
  <c r="FK302" i="1"/>
  <c r="FL302" i="1"/>
  <c r="FM302" i="1"/>
  <c r="FN302" i="1"/>
  <c r="FO302" i="1"/>
  <c r="FP302" i="1"/>
  <c r="FQ302" i="1"/>
  <c r="FR302" i="1"/>
  <c r="FS302" i="1"/>
  <c r="FT302" i="1"/>
  <c r="FU302" i="1"/>
  <c r="FV302" i="1"/>
  <c r="FW302" i="1"/>
  <c r="FX302" i="1"/>
  <c r="FY302" i="1"/>
  <c r="FZ302" i="1"/>
  <c r="GA302" i="1"/>
  <c r="GB302" i="1"/>
  <c r="GC302" i="1"/>
  <c r="GD302" i="1"/>
  <c r="GE302" i="1"/>
  <c r="GF302" i="1"/>
  <c r="GG302" i="1"/>
  <c r="GH302" i="1"/>
  <c r="GI302" i="1"/>
  <c r="GJ302" i="1"/>
  <c r="GK302" i="1"/>
  <c r="GL302" i="1"/>
  <c r="GM302" i="1"/>
  <c r="GN302" i="1"/>
  <c r="GO302" i="1"/>
  <c r="GP302" i="1"/>
  <c r="GQ302" i="1"/>
  <c r="GR302" i="1"/>
  <c r="GS302" i="1"/>
  <c r="GT302" i="1"/>
  <c r="GU302" i="1"/>
  <c r="GV302" i="1"/>
  <c r="GW302" i="1"/>
  <c r="GX302" i="1"/>
  <c r="C304" i="1"/>
  <c r="D304" i="1"/>
  <c r="I304" i="1"/>
  <c r="AC304" i="1"/>
  <c r="CQ304" i="1" s="1"/>
  <c r="AE304" i="1"/>
  <c r="U365" i="5" s="1"/>
  <c r="AF304" i="1"/>
  <c r="AG304" i="1"/>
  <c r="CU304" i="1" s="1"/>
  <c r="T304" i="1" s="1"/>
  <c r="AH304" i="1"/>
  <c r="CV304" i="1" s="1"/>
  <c r="AI304" i="1"/>
  <c r="CW304" i="1" s="1"/>
  <c r="V304" i="1" s="1"/>
  <c r="AJ304" i="1"/>
  <c r="CR304" i="1"/>
  <c r="Q304" i="1" s="1"/>
  <c r="J368" i="5" s="1"/>
  <c r="CX304" i="1"/>
  <c r="W304" i="1" s="1"/>
  <c r="FR304" i="1"/>
  <c r="GL304" i="1"/>
  <c r="GN304" i="1"/>
  <c r="GO304" i="1"/>
  <c r="GV304" i="1"/>
  <c r="C305" i="1"/>
  <c r="D305" i="1"/>
  <c r="AC305" i="1"/>
  <c r="CQ305" i="1" s="1"/>
  <c r="P305" i="1" s="1"/>
  <c r="AE305" i="1"/>
  <c r="AF305" i="1"/>
  <c r="AG305" i="1"/>
  <c r="AH305" i="1"/>
  <c r="CV305" i="1" s="1"/>
  <c r="U305" i="1" s="1"/>
  <c r="AI305" i="1"/>
  <c r="CW305" i="1" s="1"/>
  <c r="V305" i="1" s="1"/>
  <c r="AJ305" i="1"/>
  <c r="CX305" i="1" s="1"/>
  <c r="W305" i="1" s="1"/>
  <c r="CU305" i="1"/>
  <c r="T305" i="1" s="1"/>
  <c r="FR305" i="1"/>
  <c r="GL305" i="1"/>
  <c r="GN305" i="1"/>
  <c r="GO305" i="1"/>
  <c r="GV305" i="1"/>
  <c r="GX305" i="1" s="1"/>
  <c r="C306" i="1"/>
  <c r="D306" i="1"/>
  <c r="I306" i="1"/>
  <c r="AC306" i="1"/>
  <c r="AE306" i="1"/>
  <c r="AD306" i="1" s="1"/>
  <c r="AF306" i="1"/>
  <c r="AG306" i="1"/>
  <c r="CU306" i="1" s="1"/>
  <c r="AH306" i="1"/>
  <c r="CV306" i="1" s="1"/>
  <c r="U306" i="1" s="1"/>
  <c r="AI306" i="1"/>
  <c r="AJ306" i="1"/>
  <c r="CX306" i="1" s="1"/>
  <c r="W306" i="1" s="1"/>
  <c r="CR306" i="1"/>
  <c r="CW306" i="1"/>
  <c r="FR306" i="1"/>
  <c r="GL306" i="1"/>
  <c r="GN306" i="1"/>
  <c r="GO306" i="1"/>
  <c r="GV306" i="1"/>
  <c r="GX306" i="1" s="1"/>
  <c r="C307" i="1"/>
  <c r="D307" i="1"/>
  <c r="I307" i="1"/>
  <c r="AC307" i="1"/>
  <c r="AE307" i="1"/>
  <c r="AD307" i="1" s="1"/>
  <c r="AF307" i="1"/>
  <c r="AG307" i="1"/>
  <c r="CU307" i="1" s="1"/>
  <c r="T307" i="1" s="1"/>
  <c r="AH307" i="1"/>
  <c r="CV307" i="1" s="1"/>
  <c r="AI307" i="1"/>
  <c r="AJ307" i="1"/>
  <c r="CX307" i="1" s="1"/>
  <c r="CQ307" i="1"/>
  <c r="P307" i="1" s="1"/>
  <c r="J388" i="5" s="1"/>
  <c r="CW307" i="1"/>
  <c r="V307" i="1" s="1"/>
  <c r="FR307" i="1"/>
  <c r="GL307" i="1"/>
  <c r="GN307" i="1"/>
  <c r="GO307" i="1"/>
  <c r="GV307" i="1"/>
  <c r="GX307" i="1"/>
  <c r="C308" i="1"/>
  <c r="D308" i="1"/>
  <c r="AC308" i="1"/>
  <c r="AE308" i="1"/>
  <c r="CS308" i="1" s="1"/>
  <c r="AF308" i="1"/>
  <c r="AG308" i="1"/>
  <c r="CU308" i="1" s="1"/>
  <c r="AH308" i="1"/>
  <c r="CV308" i="1" s="1"/>
  <c r="AI308" i="1"/>
  <c r="CW308" i="1" s="1"/>
  <c r="AJ308" i="1"/>
  <c r="CX308" i="1" s="1"/>
  <c r="CR308" i="1"/>
  <c r="CT308" i="1"/>
  <c r="FR308" i="1"/>
  <c r="GL308" i="1"/>
  <c r="GN308" i="1"/>
  <c r="GO308" i="1"/>
  <c r="GV308" i="1"/>
  <c r="C309" i="1"/>
  <c r="D309" i="1"/>
  <c r="I309" i="1"/>
  <c r="AC309" i="1"/>
  <c r="AE309" i="1"/>
  <c r="AF309" i="1"/>
  <c r="CT309" i="1" s="1"/>
  <c r="S309" i="1" s="1"/>
  <c r="AG309" i="1"/>
  <c r="CU309" i="1" s="1"/>
  <c r="T309" i="1" s="1"/>
  <c r="AH309" i="1"/>
  <c r="CV309" i="1" s="1"/>
  <c r="AI309" i="1"/>
  <c r="CW309" i="1" s="1"/>
  <c r="V309" i="1" s="1"/>
  <c r="AJ309" i="1"/>
  <c r="CX309" i="1" s="1"/>
  <c r="W309" i="1" s="1"/>
  <c r="FR309" i="1"/>
  <c r="GL309" i="1"/>
  <c r="GN309" i="1"/>
  <c r="GO309" i="1"/>
  <c r="GV309" i="1"/>
  <c r="GX309" i="1" s="1"/>
  <c r="C310" i="1"/>
  <c r="D310" i="1"/>
  <c r="AC310" i="1"/>
  <c r="AE310" i="1"/>
  <c r="AD310" i="1" s="1"/>
  <c r="AF310" i="1"/>
  <c r="AG310" i="1"/>
  <c r="AH310" i="1"/>
  <c r="CV310" i="1" s="1"/>
  <c r="AI310" i="1"/>
  <c r="CW310" i="1" s="1"/>
  <c r="AJ310" i="1"/>
  <c r="CQ310" i="1"/>
  <c r="CU310" i="1"/>
  <c r="CX310" i="1"/>
  <c r="FR310" i="1"/>
  <c r="GL310" i="1"/>
  <c r="GN310" i="1"/>
  <c r="GO310" i="1"/>
  <c r="GV310" i="1"/>
  <c r="C311" i="1"/>
  <c r="D311" i="1"/>
  <c r="AC311" i="1"/>
  <c r="CQ311" i="1" s="1"/>
  <c r="AE311" i="1"/>
  <c r="AF311" i="1"/>
  <c r="AG311" i="1"/>
  <c r="CU311" i="1" s="1"/>
  <c r="AH311" i="1"/>
  <c r="CV311" i="1" s="1"/>
  <c r="AI311" i="1"/>
  <c r="CW311" i="1" s="1"/>
  <c r="AJ311" i="1"/>
  <c r="CX311" i="1" s="1"/>
  <c r="CS311" i="1"/>
  <c r="FR311" i="1"/>
  <c r="GL311" i="1"/>
  <c r="GN311" i="1"/>
  <c r="GO311" i="1"/>
  <c r="GV311" i="1"/>
  <c r="C312" i="1"/>
  <c r="D312" i="1"/>
  <c r="I312" i="1"/>
  <c r="AC312" i="1"/>
  <c r="AE312" i="1"/>
  <c r="AF312" i="1"/>
  <c r="CT312" i="1" s="1"/>
  <c r="AG312" i="1"/>
  <c r="CU312" i="1" s="1"/>
  <c r="T312" i="1" s="1"/>
  <c r="AH312" i="1"/>
  <c r="CV312" i="1" s="1"/>
  <c r="AI312" i="1"/>
  <c r="CW312" i="1" s="1"/>
  <c r="V312" i="1" s="1"/>
  <c r="AJ312" i="1"/>
  <c r="CX312" i="1"/>
  <c r="W312" i="1" s="1"/>
  <c r="FR312" i="1"/>
  <c r="GL312" i="1"/>
  <c r="GN312" i="1"/>
  <c r="GO312" i="1"/>
  <c r="GV312" i="1"/>
  <c r="B314" i="1"/>
  <c r="B302" i="1" s="1"/>
  <c r="C314" i="1"/>
  <c r="C302" i="1" s="1"/>
  <c r="D314" i="1"/>
  <c r="D302" i="1" s="1"/>
  <c r="F314" i="1"/>
  <c r="F302" i="1" s="1"/>
  <c r="G314" i="1"/>
  <c r="BX314" i="1"/>
  <c r="AO314" i="1" s="1"/>
  <c r="CK314" i="1"/>
  <c r="CK302" i="1" s="1"/>
  <c r="CL314" i="1"/>
  <c r="CL302" i="1" s="1"/>
  <c r="D343" i="1"/>
  <c r="E345" i="1"/>
  <c r="Z345" i="1"/>
  <c r="AA345" i="1"/>
  <c r="AM345" i="1"/>
  <c r="AN345" i="1"/>
  <c r="BD345" i="1"/>
  <c r="BE345" i="1"/>
  <c r="BF345" i="1"/>
  <c r="BG345" i="1"/>
  <c r="BH345" i="1"/>
  <c r="BI345" i="1"/>
  <c r="BJ345" i="1"/>
  <c r="BK345" i="1"/>
  <c r="BL345" i="1"/>
  <c r="BM345" i="1"/>
  <c r="BN345" i="1"/>
  <c r="BO345" i="1"/>
  <c r="BP345" i="1"/>
  <c r="BQ345" i="1"/>
  <c r="BR345" i="1"/>
  <c r="BS345" i="1"/>
  <c r="BT345" i="1"/>
  <c r="BU345" i="1"/>
  <c r="BV345" i="1"/>
  <c r="BW345" i="1"/>
  <c r="CM345" i="1"/>
  <c r="CN345" i="1"/>
  <c r="CO345" i="1"/>
  <c r="CP345" i="1"/>
  <c r="CQ345" i="1"/>
  <c r="CR345" i="1"/>
  <c r="CS345" i="1"/>
  <c r="CT345" i="1"/>
  <c r="CU345" i="1"/>
  <c r="CV345" i="1"/>
  <c r="CW345" i="1"/>
  <c r="CX345" i="1"/>
  <c r="CY345" i="1"/>
  <c r="CZ345" i="1"/>
  <c r="DA345" i="1"/>
  <c r="DB345" i="1"/>
  <c r="DC345" i="1"/>
  <c r="DD345" i="1"/>
  <c r="DE345" i="1"/>
  <c r="DF345" i="1"/>
  <c r="DG345" i="1"/>
  <c r="DH345" i="1"/>
  <c r="DI345" i="1"/>
  <c r="DJ345" i="1"/>
  <c r="DK345" i="1"/>
  <c r="DL345" i="1"/>
  <c r="DM345" i="1"/>
  <c r="DN345" i="1"/>
  <c r="DO345" i="1"/>
  <c r="DP345" i="1"/>
  <c r="DQ345" i="1"/>
  <c r="DR345" i="1"/>
  <c r="DS345" i="1"/>
  <c r="DT345" i="1"/>
  <c r="DU345" i="1"/>
  <c r="DV345" i="1"/>
  <c r="DW345" i="1"/>
  <c r="DX345" i="1"/>
  <c r="DY345" i="1"/>
  <c r="DZ345" i="1"/>
  <c r="EA345" i="1"/>
  <c r="EB345" i="1"/>
  <c r="EC345" i="1"/>
  <c r="ED345" i="1"/>
  <c r="EE345" i="1"/>
  <c r="EF345" i="1"/>
  <c r="EG345" i="1"/>
  <c r="EH345" i="1"/>
  <c r="EI345" i="1"/>
  <c r="EJ345" i="1"/>
  <c r="EK345" i="1"/>
  <c r="EL345" i="1"/>
  <c r="EM345" i="1"/>
  <c r="EN345" i="1"/>
  <c r="EO345" i="1"/>
  <c r="EP345" i="1"/>
  <c r="EQ345" i="1"/>
  <c r="ER345" i="1"/>
  <c r="ES345" i="1"/>
  <c r="ET345" i="1"/>
  <c r="EU345" i="1"/>
  <c r="EV345" i="1"/>
  <c r="EW345" i="1"/>
  <c r="EX345" i="1"/>
  <c r="EY345" i="1"/>
  <c r="EZ345" i="1"/>
  <c r="FA345" i="1"/>
  <c r="FB345" i="1"/>
  <c r="FC345" i="1"/>
  <c r="FD345" i="1"/>
  <c r="FE345" i="1"/>
  <c r="FF345" i="1"/>
  <c r="FG345" i="1"/>
  <c r="FH345" i="1"/>
  <c r="FI345" i="1"/>
  <c r="FJ345" i="1"/>
  <c r="FK345" i="1"/>
  <c r="FL345" i="1"/>
  <c r="FM345" i="1"/>
  <c r="FN345" i="1"/>
  <c r="FO345" i="1"/>
  <c r="FP345" i="1"/>
  <c r="FQ345" i="1"/>
  <c r="FR345" i="1"/>
  <c r="FS345" i="1"/>
  <c r="FT345" i="1"/>
  <c r="FU345" i="1"/>
  <c r="FV345" i="1"/>
  <c r="FW345" i="1"/>
  <c r="FX345" i="1"/>
  <c r="FY345" i="1"/>
  <c r="FZ345" i="1"/>
  <c r="GA345" i="1"/>
  <c r="GB345" i="1"/>
  <c r="GC345" i="1"/>
  <c r="GD345" i="1"/>
  <c r="GE345" i="1"/>
  <c r="GF345" i="1"/>
  <c r="GG345" i="1"/>
  <c r="GH345" i="1"/>
  <c r="GI345" i="1"/>
  <c r="GJ345" i="1"/>
  <c r="GK345" i="1"/>
  <c r="GL345" i="1"/>
  <c r="GM345" i="1"/>
  <c r="GN345" i="1"/>
  <c r="GO345" i="1"/>
  <c r="GP345" i="1"/>
  <c r="GQ345" i="1"/>
  <c r="GR345" i="1"/>
  <c r="GS345" i="1"/>
  <c r="GT345" i="1"/>
  <c r="GU345" i="1"/>
  <c r="GV345" i="1"/>
  <c r="GW345" i="1"/>
  <c r="GX345" i="1"/>
  <c r="C347" i="1"/>
  <c r="D347" i="1"/>
  <c r="I347" i="1"/>
  <c r="AC347" i="1"/>
  <c r="AD347" i="1"/>
  <c r="AE347" i="1"/>
  <c r="AF347" i="1"/>
  <c r="AG347" i="1"/>
  <c r="CU347" i="1" s="1"/>
  <c r="AH347" i="1"/>
  <c r="CV347" i="1" s="1"/>
  <c r="U347" i="1" s="1"/>
  <c r="K458" i="5" s="1"/>
  <c r="AI347" i="1"/>
  <c r="CW347" i="1" s="1"/>
  <c r="AJ347" i="1"/>
  <c r="CX347" i="1" s="1"/>
  <c r="W347" i="1" s="1"/>
  <c r="FR347" i="1"/>
  <c r="GL347" i="1"/>
  <c r="GN347" i="1"/>
  <c r="GO347" i="1"/>
  <c r="GV347" i="1"/>
  <c r="C348" i="1"/>
  <c r="D348" i="1"/>
  <c r="AC348" i="1"/>
  <c r="CQ348" i="1" s="1"/>
  <c r="P348" i="1" s="1"/>
  <c r="AE348" i="1"/>
  <c r="U460" i="5" s="1"/>
  <c r="AF348" i="1"/>
  <c r="AG348" i="1"/>
  <c r="CU348" i="1" s="1"/>
  <c r="T348" i="1" s="1"/>
  <c r="AH348" i="1"/>
  <c r="CV348" i="1" s="1"/>
  <c r="U348" i="1" s="1"/>
  <c r="AI348" i="1"/>
  <c r="CW348" i="1" s="1"/>
  <c r="V348" i="1" s="1"/>
  <c r="AJ348" i="1"/>
  <c r="CX348" i="1" s="1"/>
  <c r="W348" i="1" s="1"/>
  <c r="FR348" i="1"/>
  <c r="GL348" i="1"/>
  <c r="GN348" i="1"/>
  <c r="GO348" i="1"/>
  <c r="GV348" i="1"/>
  <c r="GX348" i="1" s="1"/>
  <c r="C349" i="1"/>
  <c r="D349" i="1"/>
  <c r="I349" i="1"/>
  <c r="AC349" i="1"/>
  <c r="AE349" i="1"/>
  <c r="AD349" i="1" s="1"/>
  <c r="AF349" i="1"/>
  <c r="AG349" i="1"/>
  <c r="AH349" i="1"/>
  <c r="CV349" i="1" s="1"/>
  <c r="AI349" i="1"/>
  <c r="CW349" i="1" s="1"/>
  <c r="AJ349" i="1"/>
  <c r="CX349" i="1" s="1"/>
  <c r="CQ349" i="1"/>
  <c r="P349" i="1" s="1"/>
  <c r="CU349" i="1"/>
  <c r="T349" i="1" s="1"/>
  <c r="FR349" i="1"/>
  <c r="GL349" i="1"/>
  <c r="GN349" i="1"/>
  <c r="GO349" i="1"/>
  <c r="GV349" i="1"/>
  <c r="C350" i="1"/>
  <c r="D350" i="1"/>
  <c r="I350" i="1"/>
  <c r="AC350" i="1"/>
  <c r="CQ350" i="1" s="1"/>
  <c r="AE350" i="1"/>
  <c r="AF350" i="1"/>
  <c r="AG350" i="1"/>
  <c r="CU350" i="1" s="1"/>
  <c r="AH350" i="1"/>
  <c r="CV350" i="1" s="1"/>
  <c r="AI350" i="1"/>
  <c r="CW350" i="1" s="1"/>
  <c r="V350" i="1" s="1"/>
  <c r="AJ350" i="1"/>
  <c r="CX350" i="1" s="1"/>
  <c r="FR350" i="1"/>
  <c r="GL350" i="1"/>
  <c r="GN350" i="1"/>
  <c r="GO350" i="1"/>
  <c r="GV350" i="1"/>
  <c r="GX350" i="1" s="1"/>
  <c r="C351" i="1"/>
  <c r="D351" i="1"/>
  <c r="AC351" i="1"/>
  <c r="CQ351" i="1" s="1"/>
  <c r="AE351" i="1"/>
  <c r="AD351" i="1" s="1"/>
  <c r="AF351" i="1"/>
  <c r="AG351" i="1"/>
  <c r="CU351" i="1" s="1"/>
  <c r="AH351" i="1"/>
  <c r="CV351" i="1" s="1"/>
  <c r="AI351" i="1"/>
  <c r="CW351" i="1" s="1"/>
  <c r="AJ351" i="1"/>
  <c r="CX351" i="1" s="1"/>
  <c r="CS351" i="1"/>
  <c r="FR351" i="1"/>
  <c r="GL351" i="1"/>
  <c r="GN351" i="1"/>
  <c r="GO351" i="1"/>
  <c r="GV351" i="1"/>
  <c r="C352" i="1"/>
  <c r="D352" i="1"/>
  <c r="I352" i="1"/>
  <c r="AC352" i="1"/>
  <c r="AE352" i="1"/>
  <c r="AD352" i="1" s="1"/>
  <c r="AF352" i="1"/>
  <c r="AG352" i="1"/>
  <c r="AH352" i="1"/>
  <c r="CV352" i="1" s="1"/>
  <c r="AI352" i="1"/>
  <c r="CW352" i="1" s="1"/>
  <c r="AJ352" i="1"/>
  <c r="CX352" i="1" s="1"/>
  <c r="CQ352" i="1"/>
  <c r="CU352" i="1"/>
  <c r="T352" i="1" s="1"/>
  <c r="FR352" i="1"/>
  <c r="GL352" i="1"/>
  <c r="GN352" i="1"/>
  <c r="GO352" i="1"/>
  <c r="GV352" i="1"/>
  <c r="C353" i="1"/>
  <c r="D353" i="1"/>
  <c r="I353" i="1"/>
  <c r="AC353" i="1"/>
  <c r="CQ353" i="1" s="1"/>
  <c r="AE353" i="1"/>
  <c r="AF353" i="1"/>
  <c r="AG353" i="1"/>
  <c r="AH353" i="1"/>
  <c r="CV353" i="1" s="1"/>
  <c r="AI353" i="1"/>
  <c r="CW353" i="1" s="1"/>
  <c r="AJ353" i="1"/>
  <c r="CX353" i="1" s="1"/>
  <c r="CU353" i="1"/>
  <c r="T353" i="1" s="1"/>
  <c r="FR353" i="1"/>
  <c r="GL353" i="1"/>
  <c r="GN353" i="1"/>
  <c r="GO353" i="1"/>
  <c r="GV353" i="1"/>
  <c r="C354" i="1"/>
  <c r="D354" i="1"/>
  <c r="AC354" i="1"/>
  <c r="CQ354" i="1" s="1"/>
  <c r="AE354" i="1"/>
  <c r="AF354" i="1"/>
  <c r="AG354" i="1"/>
  <c r="CU354" i="1" s="1"/>
  <c r="AH354" i="1"/>
  <c r="CV354" i="1" s="1"/>
  <c r="AI354" i="1"/>
  <c r="CW354" i="1" s="1"/>
  <c r="AJ354" i="1"/>
  <c r="CX354" i="1" s="1"/>
  <c r="FR354" i="1"/>
  <c r="GL354" i="1"/>
  <c r="GN354" i="1"/>
  <c r="GO354" i="1"/>
  <c r="GV354" i="1"/>
  <c r="C355" i="1"/>
  <c r="D355" i="1"/>
  <c r="I355" i="1"/>
  <c r="AC355" i="1"/>
  <c r="AE355" i="1"/>
  <c r="U520" i="5" s="1"/>
  <c r="AF355" i="1"/>
  <c r="AG355" i="1"/>
  <c r="CU355" i="1" s="1"/>
  <c r="AH355" i="1"/>
  <c r="CV355" i="1" s="1"/>
  <c r="AI355" i="1"/>
  <c r="CW355" i="1" s="1"/>
  <c r="V355" i="1" s="1"/>
  <c r="AJ355" i="1"/>
  <c r="CR355" i="1"/>
  <c r="Q355" i="1" s="1"/>
  <c r="CX355" i="1"/>
  <c r="FR355" i="1"/>
  <c r="GL355" i="1"/>
  <c r="GN355" i="1"/>
  <c r="GO355" i="1"/>
  <c r="GV355" i="1"/>
  <c r="C356" i="1"/>
  <c r="D356" i="1"/>
  <c r="I356" i="1"/>
  <c r="AC356" i="1"/>
  <c r="CQ356" i="1" s="1"/>
  <c r="AE356" i="1"/>
  <c r="AF356" i="1"/>
  <c r="AG356" i="1"/>
  <c r="CU356" i="1" s="1"/>
  <c r="T356" i="1" s="1"/>
  <c r="AH356" i="1"/>
  <c r="CV356" i="1" s="1"/>
  <c r="AI356" i="1"/>
  <c r="CW356" i="1" s="1"/>
  <c r="V356" i="1" s="1"/>
  <c r="AJ356" i="1"/>
  <c r="CT356" i="1"/>
  <c r="S356" i="1" s="1"/>
  <c r="CX356" i="1"/>
  <c r="FR356" i="1"/>
  <c r="GL356" i="1"/>
  <c r="GN356" i="1"/>
  <c r="GO356" i="1"/>
  <c r="GV356" i="1"/>
  <c r="B358" i="1"/>
  <c r="B345" i="1" s="1"/>
  <c r="C358" i="1"/>
  <c r="C345" i="1" s="1"/>
  <c r="D358" i="1"/>
  <c r="D345" i="1" s="1"/>
  <c r="F358" i="1"/>
  <c r="F345" i="1" s="1"/>
  <c r="G358" i="1"/>
  <c r="BX358" i="1"/>
  <c r="BX345" i="1" s="1"/>
  <c r="CK358" i="1"/>
  <c r="CK345" i="1" s="1"/>
  <c r="CL358" i="1"/>
  <c r="B387" i="1"/>
  <c r="B22" i="1" s="1"/>
  <c r="C387" i="1"/>
  <c r="C22" i="1" s="1"/>
  <c r="D387" i="1"/>
  <c r="D22" i="1" s="1"/>
  <c r="F387" i="1"/>
  <c r="F22" i="1" s="1"/>
  <c r="G387" i="1"/>
  <c r="B420" i="1"/>
  <c r="B18" i="1" s="1"/>
  <c r="C420" i="1"/>
  <c r="C18" i="1" s="1"/>
  <c r="D420" i="1"/>
  <c r="D18" i="1" s="1"/>
  <c r="F420" i="1"/>
  <c r="F18" i="1" s="1"/>
  <c r="G420" i="1"/>
  <c r="G18" i="1" s="1"/>
  <c r="V268" i="1" l="1"/>
  <c r="GX355" i="1"/>
  <c r="U355" i="1"/>
  <c r="K525" i="5" s="1"/>
  <c r="GX353" i="1"/>
  <c r="W353" i="1"/>
  <c r="U353" i="1"/>
  <c r="K508" i="5" s="1"/>
  <c r="P353" i="1"/>
  <c r="J504" i="5" s="1"/>
  <c r="CR352" i="1"/>
  <c r="Q352" i="1" s="1"/>
  <c r="J492" i="5" s="1"/>
  <c r="W352" i="1"/>
  <c r="U352" i="1"/>
  <c r="K498" i="5" s="1"/>
  <c r="CR349" i="1"/>
  <c r="Q349" i="1" s="1"/>
  <c r="J465" i="5" s="1"/>
  <c r="I467" i="5" s="1"/>
  <c r="P467" i="5" s="1"/>
  <c r="W349" i="1"/>
  <c r="U349" i="1"/>
  <c r="GX312" i="1"/>
  <c r="U312" i="1"/>
  <c r="K443" i="5" s="1"/>
  <c r="S312" i="1"/>
  <c r="J436" i="5" s="1"/>
  <c r="CB314" i="1"/>
  <c r="CR310" i="1"/>
  <c r="CS307" i="1"/>
  <c r="W307" i="1"/>
  <c r="U307" i="1"/>
  <c r="K392" i="5" s="1"/>
  <c r="CS306" i="1"/>
  <c r="V379" i="5" s="1"/>
  <c r="CR195" i="1"/>
  <c r="Q195" i="1" s="1"/>
  <c r="J254" i="5" s="1"/>
  <c r="I256" i="5" s="1"/>
  <c r="P256" i="5" s="1"/>
  <c r="GX158" i="1"/>
  <c r="CJ160" i="1" s="1"/>
  <c r="BA160" i="1" s="1"/>
  <c r="BA154" i="1" s="1"/>
  <c r="AB156" i="1"/>
  <c r="U117" i="1"/>
  <c r="K206" i="5" s="1"/>
  <c r="W117" i="1"/>
  <c r="CR116" i="1"/>
  <c r="W113" i="1"/>
  <c r="U113" i="1"/>
  <c r="CS110" i="1"/>
  <c r="GX75" i="1"/>
  <c r="BY77" i="1"/>
  <c r="GX74" i="1"/>
  <c r="W74" i="1"/>
  <c r="U74" i="1"/>
  <c r="K125" i="5" s="1"/>
  <c r="GX29" i="1"/>
  <c r="W29" i="1"/>
  <c r="AJ37" i="1" s="1"/>
  <c r="U268" i="1"/>
  <c r="K348" i="5" s="1"/>
  <c r="BY199" i="1"/>
  <c r="CI199" i="1" s="1"/>
  <c r="CC199" i="1"/>
  <c r="BZ160" i="1"/>
  <c r="CG160" i="1" s="1"/>
  <c r="P115" i="1"/>
  <c r="CB119" i="1"/>
  <c r="AS119" i="1" s="1"/>
  <c r="GX34" i="1"/>
  <c r="V62" i="5"/>
  <c r="J69" i="5" s="1"/>
  <c r="V34" i="1"/>
  <c r="T34" i="1"/>
  <c r="U62" i="5"/>
  <c r="S33" i="1"/>
  <c r="J53" i="5" s="1"/>
  <c r="W33" i="1"/>
  <c r="U33" i="1"/>
  <c r="K60" i="5" s="1"/>
  <c r="U32" i="1"/>
  <c r="W32" i="1"/>
  <c r="AD30" i="1"/>
  <c r="T28" i="1"/>
  <c r="AG37" i="1" s="1"/>
  <c r="V28" i="1"/>
  <c r="W356" i="1"/>
  <c r="P356" i="1"/>
  <c r="CS355" i="1"/>
  <c r="V520" i="5" s="1"/>
  <c r="AD355" i="1"/>
  <c r="CR307" i="1"/>
  <c r="Q307" i="1" s="1"/>
  <c r="J386" i="5" s="1"/>
  <c r="V306" i="1"/>
  <c r="Q306" i="1"/>
  <c r="J380" i="5" s="1"/>
  <c r="I382" i="5" s="1"/>
  <c r="P382" i="5" s="1"/>
  <c r="T306" i="1"/>
  <c r="U379" i="5"/>
  <c r="GX304" i="1"/>
  <c r="P304" i="1"/>
  <c r="CP304" i="1" s="1"/>
  <c r="O304" i="1" s="1"/>
  <c r="BB271" i="1"/>
  <c r="CR269" i="1"/>
  <c r="Q269" i="1" s="1"/>
  <c r="J352" i="5" s="1"/>
  <c r="GX268" i="1"/>
  <c r="U267" i="1"/>
  <c r="K338" i="5" s="1"/>
  <c r="W267" i="1"/>
  <c r="GX266" i="1"/>
  <c r="S266" i="1"/>
  <c r="CY266" i="1" s="1"/>
  <c r="X266" i="1" s="1"/>
  <c r="R319" i="5" s="1"/>
  <c r="J325" i="5" s="1"/>
  <c r="U266" i="1"/>
  <c r="K328" i="5" s="1"/>
  <c r="GX261" i="1"/>
  <c r="W261" i="1"/>
  <c r="U261" i="1"/>
  <c r="K287" i="5" s="1"/>
  <c r="P261" i="1"/>
  <c r="T195" i="1"/>
  <c r="P195" i="1"/>
  <c r="GX193" i="1"/>
  <c r="U193" i="1"/>
  <c r="K246" i="5" s="1"/>
  <c r="U158" i="1"/>
  <c r="BY160" i="1"/>
  <c r="BY154" i="1" s="1"/>
  <c r="CS157" i="1"/>
  <c r="AD157" i="1"/>
  <c r="AB157" i="1" s="1"/>
  <c r="CL68" i="1"/>
  <c r="AO37" i="1"/>
  <c r="AO26" i="1" s="1"/>
  <c r="U34" i="1"/>
  <c r="K70" i="5" s="1"/>
  <c r="W34" i="1"/>
  <c r="P34" i="1"/>
  <c r="J66" i="5" s="1"/>
  <c r="J532" i="5"/>
  <c r="CT354" i="1"/>
  <c r="AB351" i="1"/>
  <c r="CT351" i="1"/>
  <c r="BZ358" i="1"/>
  <c r="BZ345" i="1" s="1"/>
  <c r="CQ308" i="1"/>
  <c r="R306" i="1"/>
  <c r="J381" i="5" s="1"/>
  <c r="D58" i="6"/>
  <c r="E289" i="5"/>
  <c r="C290" i="5"/>
  <c r="V262" i="1"/>
  <c r="AT199" i="1"/>
  <c r="F217" i="1" s="1"/>
  <c r="CC191" i="1"/>
  <c r="V127" i="5"/>
  <c r="J135" i="5" s="1"/>
  <c r="R75" i="1"/>
  <c r="CY33" i="1"/>
  <c r="X33" i="1" s="1"/>
  <c r="R51" i="5" s="1"/>
  <c r="J57" i="5" s="1"/>
  <c r="CZ33" i="1"/>
  <c r="Y33" i="1" s="1"/>
  <c r="T51" i="5" s="1"/>
  <c r="J58" i="5" s="1"/>
  <c r="CZ30" i="1"/>
  <c r="Y30" i="1" s="1"/>
  <c r="T38" i="5" s="1"/>
  <c r="CY30" i="1"/>
  <c r="X30" i="1" s="1"/>
  <c r="R38" i="5" s="1"/>
  <c r="CB358" i="1"/>
  <c r="I69" i="8"/>
  <c r="I68" i="8"/>
  <c r="D80" i="6"/>
  <c r="C469" i="5"/>
  <c r="E468" i="5"/>
  <c r="I351" i="1"/>
  <c r="W351" i="1" s="1"/>
  <c r="AD312" i="1"/>
  <c r="U435" i="5"/>
  <c r="CR312" i="1"/>
  <c r="Q312" i="1" s="1"/>
  <c r="J437" i="5" s="1"/>
  <c r="CS312" i="1"/>
  <c r="CZ309" i="1"/>
  <c r="Y309" i="1" s="1"/>
  <c r="T404" i="5" s="1"/>
  <c r="J411" i="5" s="1"/>
  <c r="J406" i="5"/>
  <c r="CT305" i="1"/>
  <c r="S305" i="1" s="1"/>
  <c r="S375" i="5"/>
  <c r="Q375" i="5"/>
  <c r="AD350" i="1"/>
  <c r="AB350" i="1" s="1"/>
  <c r="U468" i="5"/>
  <c r="CR350" i="1"/>
  <c r="Q350" i="1" s="1"/>
  <c r="J471" i="5" s="1"/>
  <c r="CS350" i="1"/>
  <c r="U404" i="5"/>
  <c r="CR309" i="1"/>
  <c r="Q309" i="1" s="1"/>
  <c r="J407" i="5" s="1"/>
  <c r="AD309" i="1"/>
  <c r="AB309" i="1" s="1"/>
  <c r="CS309" i="1"/>
  <c r="S489" i="5"/>
  <c r="Q489" i="5"/>
  <c r="CT352" i="1"/>
  <c r="S352" i="1" s="1"/>
  <c r="GX351" i="1"/>
  <c r="U350" i="1"/>
  <c r="K477" i="5" s="1"/>
  <c r="V351" i="1"/>
  <c r="CC358" i="1"/>
  <c r="Q450" i="5"/>
  <c r="S450" i="5"/>
  <c r="CT347" i="1"/>
  <c r="S347" i="1" s="1"/>
  <c r="J452" i="5" s="1"/>
  <c r="Q350" i="5"/>
  <c r="S350" i="5"/>
  <c r="CT269" i="1"/>
  <c r="S269" i="1" s="1"/>
  <c r="J351" i="5" s="1"/>
  <c r="J181" i="5"/>
  <c r="CS266" i="1"/>
  <c r="U319" i="5"/>
  <c r="CT264" i="1"/>
  <c r="S298" i="5"/>
  <c r="Q298" i="5"/>
  <c r="U262" i="1"/>
  <c r="G154" i="1"/>
  <c r="A31" i="7" s="1"/>
  <c r="A234" i="5"/>
  <c r="CS158" i="1"/>
  <c r="U229" i="5"/>
  <c r="R157" i="1"/>
  <c r="J227" i="5" s="1"/>
  <c r="V225" i="5"/>
  <c r="CT113" i="1"/>
  <c r="S113" i="1" s="1"/>
  <c r="Q168" i="5"/>
  <c r="S168" i="5"/>
  <c r="I18" i="8"/>
  <c r="D35" i="6"/>
  <c r="E127" i="5"/>
  <c r="C128" i="5"/>
  <c r="AD72" i="1"/>
  <c r="AB72" i="1" s="1"/>
  <c r="Q47" i="5"/>
  <c r="S47" i="5"/>
  <c r="BB358" i="1"/>
  <c r="Q527" i="5"/>
  <c r="S527" i="5"/>
  <c r="I82" i="8"/>
  <c r="I81" i="8"/>
  <c r="D86" i="6"/>
  <c r="E527" i="5"/>
  <c r="C528" i="5"/>
  <c r="GX352" i="1"/>
  <c r="V352" i="1"/>
  <c r="CS352" i="1"/>
  <c r="U489" i="5"/>
  <c r="U479" i="5"/>
  <c r="P350" i="1"/>
  <c r="J473" i="5" s="1"/>
  <c r="CT348" i="1"/>
  <c r="S348" i="1" s="1"/>
  <c r="Q460" i="5"/>
  <c r="S460" i="5"/>
  <c r="V347" i="1"/>
  <c r="CS347" i="1"/>
  <c r="U450" i="5"/>
  <c r="BC314" i="1"/>
  <c r="F330" i="1" s="1"/>
  <c r="CT311" i="1"/>
  <c r="U309" i="1"/>
  <c r="K413" i="5" s="1"/>
  <c r="I54" i="8"/>
  <c r="I53" i="8"/>
  <c r="D70" i="6"/>
  <c r="C384" i="5"/>
  <c r="E383" i="5"/>
  <c r="AD305" i="1"/>
  <c r="U375" i="5"/>
  <c r="CT304" i="1"/>
  <c r="S304" i="1" s="1"/>
  <c r="J367" i="5" s="1"/>
  <c r="S365" i="5"/>
  <c r="Q365" i="5"/>
  <c r="D67" i="6"/>
  <c r="C366" i="5"/>
  <c r="E365" i="5"/>
  <c r="G259" i="1"/>
  <c r="A50" i="7" s="1"/>
  <c r="A64" i="7"/>
  <c r="A361" i="5"/>
  <c r="CS269" i="1"/>
  <c r="U350" i="5"/>
  <c r="CT267" i="1"/>
  <c r="S267" i="1" s="1"/>
  <c r="J331" i="5" s="1"/>
  <c r="S330" i="5"/>
  <c r="Q330" i="5"/>
  <c r="I47" i="8"/>
  <c r="I46" i="8"/>
  <c r="I45" i="8"/>
  <c r="I44" i="8"/>
  <c r="I43" i="8"/>
  <c r="D63" i="6"/>
  <c r="E330" i="5"/>
  <c r="CR266" i="1"/>
  <c r="Q266" i="1" s="1"/>
  <c r="J322" i="5" s="1"/>
  <c r="AD266" i="1"/>
  <c r="I42" i="8"/>
  <c r="D62" i="6"/>
  <c r="C320" i="5"/>
  <c r="E319" i="5"/>
  <c r="CS265" i="1"/>
  <c r="AD265" i="1"/>
  <c r="I41" i="8"/>
  <c r="I40" i="8"/>
  <c r="D61" i="6"/>
  <c r="E309" i="5"/>
  <c r="AD264" i="1"/>
  <c r="AB264" i="1" s="1"/>
  <c r="U298" i="5"/>
  <c r="I39" i="8"/>
  <c r="I38" i="8"/>
  <c r="D60" i="6"/>
  <c r="E298" i="5"/>
  <c r="C299" i="5"/>
  <c r="CT262" i="1"/>
  <c r="Q289" i="5"/>
  <c r="S289" i="5"/>
  <c r="V261" i="1"/>
  <c r="CS261" i="1"/>
  <c r="U279" i="5"/>
  <c r="AO199" i="1"/>
  <c r="AO191" i="1" s="1"/>
  <c r="CB199" i="1"/>
  <c r="D53" i="6"/>
  <c r="E253" i="5"/>
  <c r="K256" i="5"/>
  <c r="CT194" i="1"/>
  <c r="S194" i="1" s="1"/>
  <c r="CZ194" i="1" s="1"/>
  <c r="Y194" i="1" s="1"/>
  <c r="T248" i="5" s="1"/>
  <c r="S248" i="5"/>
  <c r="Q248" i="5"/>
  <c r="CR193" i="1"/>
  <c r="Q193" i="1" s="1"/>
  <c r="J241" i="5" s="1"/>
  <c r="AD193" i="1"/>
  <c r="AB193" i="1" s="1"/>
  <c r="I33" i="8"/>
  <c r="I31" i="8"/>
  <c r="I32" i="8"/>
  <c r="D51" i="6"/>
  <c r="E238" i="5"/>
  <c r="C239" i="5"/>
  <c r="CR158" i="1"/>
  <c r="Q158" i="1" s="1"/>
  <c r="J230" i="5" s="1"/>
  <c r="I232" i="5" s="1"/>
  <c r="P232" i="5" s="1"/>
  <c r="AD158" i="1"/>
  <c r="AB158" i="1" s="1"/>
  <c r="D49" i="6"/>
  <c r="E229" i="5"/>
  <c r="K228" i="5"/>
  <c r="P228" i="5"/>
  <c r="BC119" i="1"/>
  <c r="CS116" i="1"/>
  <c r="W115" i="1"/>
  <c r="CT115" i="1"/>
  <c r="S115" i="1" s="1"/>
  <c r="J178" i="5" s="1"/>
  <c r="Q176" i="5"/>
  <c r="S176" i="5"/>
  <c r="V113" i="1"/>
  <c r="U168" i="5"/>
  <c r="CY112" i="1"/>
  <c r="X112" i="1" s="1"/>
  <c r="R163" i="5" s="1"/>
  <c r="W110" i="1"/>
  <c r="CT110" i="1"/>
  <c r="S110" i="1" s="1"/>
  <c r="S143" i="5"/>
  <c r="Q143" i="5"/>
  <c r="P75" i="1"/>
  <c r="J132" i="5" s="1"/>
  <c r="CT74" i="1"/>
  <c r="S74" i="1" s="1"/>
  <c r="S117" i="5"/>
  <c r="Q117" i="5"/>
  <c r="CS72" i="1"/>
  <c r="CR71" i="1"/>
  <c r="CS70" i="1"/>
  <c r="AD70" i="1"/>
  <c r="AB70" i="1" s="1"/>
  <c r="D30" i="6"/>
  <c r="E87" i="5"/>
  <c r="C88" i="5"/>
  <c r="G26" i="1"/>
  <c r="A9" i="7" s="1"/>
  <c r="A83" i="5"/>
  <c r="BZ37" i="1"/>
  <c r="CT34" i="1"/>
  <c r="S34" i="1" s="1"/>
  <c r="J63" i="5" s="1"/>
  <c r="S62" i="5"/>
  <c r="Q62" i="5"/>
  <c r="R34" i="1"/>
  <c r="D26" i="6"/>
  <c r="I9" i="8"/>
  <c r="I8" i="8"/>
  <c r="E51" i="5"/>
  <c r="C52" i="5"/>
  <c r="CT32" i="1"/>
  <c r="S32" i="1" s="1"/>
  <c r="AD32" i="1"/>
  <c r="AB32" i="1" s="1"/>
  <c r="U47" i="5"/>
  <c r="T31" i="1"/>
  <c r="V31" i="1"/>
  <c r="U43" i="5"/>
  <c r="S18" i="5"/>
  <c r="Q18" i="5"/>
  <c r="CX156" i="3"/>
  <c r="CT261" i="1"/>
  <c r="S261" i="1" s="1"/>
  <c r="J281" i="5" s="1"/>
  <c r="Q279" i="5"/>
  <c r="S279" i="5"/>
  <c r="CS193" i="1"/>
  <c r="I21" i="8"/>
  <c r="I20" i="8"/>
  <c r="D42" i="6"/>
  <c r="E176" i="5"/>
  <c r="C177" i="5"/>
  <c r="S153" i="5"/>
  <c r="Q153" i="5"/>
  <c r="G68" i="1"/>
  <c r="A16" i="7" s="1"/>
  <c r="A139" i="5"/>
  <c r="AD75" i="1"/>
  <c r="U127" i="5"/>
  <c r="J121" i="5"/>
  <c r="CS73" i="1"/>
  <c r="U106" i="5"/>
  <c r="CS71" i="1"/>
  <c r="S72" i="5"/>
  <c r="Q72" i="5"/>
  <c r="D25" i="6"/>
  <c r="E47" i="5"/>
  <c r="Q43" i="5"/>
  <c r="S43" i="5"/>
  <c r="CX10" i="3"/>
  <c r="D24" i="6"/>
  <c r="E43" i="5"/>
  <c r="S38" i="5"/>
  <c r="Q38" i="5"/>
  <c r="CT353" i="1"/>
  <c r="S353" i="1" s="1"/>
  <c r="J501" i="5" s="1"/>
  <c r="Q500" i="5"/>
  <c r="S500" i="5"/>
  <c r="I72" i="8"/>
  <c r="D82" i="6"/>
  <c r="E489" i="5"/>
  <c r="C490" i="5"/>
  <c r="U351" i="1"/>
  <c r="K487" i="5" s="1"/>
  <c r="CX215" i="3"/>
  <c r="D79" i="6"/>
  <c r="E464" i="5"/>
  <c r="I57" i="8"/>
  <c r="D72" i="6"/>
  <c r="E404" i="5"/>
  <c r="C405" i="5"/>
  <c r="CT307" i="1"/>
  <c r="S307" i="1" s="1"/>
  <c r="CY307" i="1" s="1"/>
  <c r="X307" i="1" s="1"/>
  <c r="R383" i="5" s="1"/>
  <c r="J389" i="5" s="1"/>
  <c r="S383" i="5"/>
  <c r="Q383" i="5"/>
  <c r="S379" i="5"/>
  <c r="Q379" i="5"/>
  <c r="CT268" i="1"/>
  <c r="Q340" i="5"/>
  <c r="S340" i="5"/>
  <c r="I50" i="8"/>
  <c r="I49" i="8"/>
  <c r="I48" i="8"/>
  <c r="D64" i="6"/>
  <c r="E340" i="5"/>
  <c r="CS267" i="1"/>
  <c r="U330" i="5"/>
  <c r="CR265" i="1"/>
  <c r="Q265" i="1" s="1"/>
  <c r="J311" i="5" s="1"/>
  <c r="R264" i="1"/>
  <c r="V298" i="5"/>
  <c r="J306" i="5" s="1"/>
  <c r="CS263" i="1"/>
  <c r="U289" i="5"/>
  <c r="T261" i="1"/>
  <c r="G191" i="1"/>
  <c r="A37" i="7" s="1"/>
  <c r="A272" i="5"/>
  <c r="BZ199" i="1"/>
  <c r="S253" i="5"/>
  <c r="Q253" i="5"/>
  <c r="R194" i="1"/>
  <c r="S225" i="5"/>
  <c r="Q225" i="5"/>
  <c r="CT156" i="1"/>
  <c r="S156" i="1" s="1"/>
  <c r="S215" i="5"/>
  <c r="Q215" i="5"/>
  <c r="G108" i="1"/>
  <c r="A23" i="7" s="1"/>
  <c r="A209" i="5"/>
  <c r="Q116" i="1"/>
  <c r="J189" i="5" s="1"/>
  <c r="I116" i="1"/>
  <c r="W116" i="1" s="1"/>
  <c r="BY119" i="1"/>
  <c r="BY108" i="1" s="1"/>
  <c r="V176" i="5"/>
  <c r="J184" i="5" s="1"/>
  <c r="U176" i="5"/>
  <c r="R115" i="1"/>
  <c r="T113" i="1"/>
  <c r="S163" i="5"/>
  <c r="Q163" i="5"/>
  <c r="R110" i="1"/>
  <c r="J147" i="5" s="1"/>
  <c r="V143" i="5"/>
  <c r="J150" i="5" s="1"/>
  <c r="D37" i="6"/>
  <c r="E143" i="5"/>
  <c r="C144" i="5"/>
  <c r="CR75" i="1"/>
  <c r="Q75" i="1" s="1"/>
  <c r="J130" i="5" s="1"/>
  <c r="T75" i="1"/>
  <c r="CS74" i="1"/>
  <c r="U117" i="5"/>
  <c r="CR73" i="1"/>
  <c r="Q73" i="1" s="1"/>
  <c r="J109" i="5" s="1"/>
  <c r="CR72" i="1"/>
  <c r="CR70" i="1"/>
  <c r="Q70" i="1" s="1"/>
  <c r="J90" i="5" s="1"/>
  <c r="Q51" i="5"/>
  <c r="S51" i="5"/>
  <c r="V47" i="5"/>
  <c r="P32" i="1"/>
  <c r="CT31" i="1"/>
  <c r="S31" i="1" s="1"/>
  <c r="R30" i="1"/>
  <c r="V38" i="5"/>
  <c r="J41" i="5" s="1"/>
  <c r="CJ37" i="1"/>
  <c r="BA37" i="1" s="1"/>
  <c r="BA26" i="1" s="1"/>
  <c r="CT28" i="1"/>
  <c r="S28" i="1" s="1"/>
  <c r="CS28" i="1"/>
  <c r="U18" i="5"/>
  <c r="D21" i="6"/>
  <c r="E18" i="5"/>
  <c r="C19" i="5"/>
  <c r="CX17" i="3"/>
  <c r="CX1" i="3"/>
  <c r="CZ266" i="1"/>
  <c r="Y266" i="1" s="1"/>
  <c r="T319" i="5" s="1"/>
  <c r="J326" i="5" s="1"/>
  <c r="J321" i="5"/>
  <c r="D57" i="6"/>
  <c r="E279" i="5"/>
  <c r="C280" i="5"/>
  <c r="AD160" i="1"/>
  <c r="AD154" i="1" s="1"/>
  <c r="J217" i="5"/>
  <c r="P113" i="1"/>
  <c r="D40" i="6"/>
  <c r="E168" i="5"/>
  <c r="G345" i="1"/>
  <c r="A90" i="7" s="1"/>
  <c r="A103" i="7"/>
  <c r="A539" i="5"/>
  <c r="CZ356" i="1"/>
  <c r="Y356" i="1" s="1"/>
  <c r="T527" i="5" s="1"/>
  <c r="J534" i="5" s="1"/>
  <c r="J529" i="5"/>
  <c r="CS356" i="1"/>
  <c r="U527" i="5"/>
  <c r="CT355" i="1"/>
  <c r="S355" i="1" s="1"/>
  <c r="J522" i="5" s="1"/>
  <c r="Q520" i="5"/>
  <c r="S520" i="5"/>
  <c r="I77" i="8"/>
  <c r="I76" i="8"/>
  <c r="I75" i="8"/>
  <c r="I74" i="8"/>
  <c r="I73" i="8"/>
  <c r="D83" i="6"/>
  <c r="E500" i="5"/>
  <c r="V479" i="5"/>
  <c r="J486" i="5" s="1"/>
  <c r="T350" i="1"/>
  <c r="S464" i="5"/>
  <c r="Q464" i="5"/>
  <c r="D77" i="6"/>
  <c r="E450" i="5"/>
  <c r="C451" i="5"/>
  <c r="G22" i="1"/>
  <c r="A8" i="7" s="1"/>
  <c r="A110" i="7"/>
  <c r="GX356" i="1"/>
  <c r="CR356" i="1"/>
  <c r="Q356" i="1" s="1"/>
  <c r="J530" i="5" s="1"/>
  <c r="U356" i="1"/>
  <c r="K536" i="5" s="1"/>
  <c r="AD356" i="1"/>
  <c r="AB356" i="1" s="1"/>
  <c r="D85" i="6"/>
  <c r="E520" i="5"/>
  <c r="C521" i="5"/>
  <c r="I354" i="1"/>
  <c r="S510" i="5" s="1"/>
  <c r="V353" i="1"/>
  <c r="U500" i="5"/>
  <c r="P352" i="1"/>
  <c r="CR351" i="1"/>
  <c r="Q351" i="1" s="1"/>
  <c r="J481" i="5" s="1"/>
  <c r="T351" i="1"/>
  <c r="P351" i="1"/>
  <c r="J483" i="5" s="1"/>
  <c r="W350" i="1"/>
  <c r="CT350" i="1"/>
  <c r="S350" i="1" s="1"/>
  <c r="S468" i="5"/>
  <c r="Q468" i="5"/>
  <c r="GX349" i="1"/>
  <c r="CT349" i="1"/>
  <c r="S349" i="1" s="1"/>
  <c r="CP349" i="1" s="1"/>
  <c r="O349" i="1" s="1"/>
  <c r="V349" i="1"/>
  <c r="CS349" i="1"/>
  <c r="U464" i="5"/>
  <c r="GX347" i="1"/>
  <c r="CR347" i="1"/>
  <c r="Q347" i="1" s="1"/>
  <c r="J453" i="5" s="1"/>
  <c r="T347" i="1"/>
  <c r="G302" i="1"/>
  <c r="A70" i="7" s="1"/>
  <c r="A84" i="7"/>
  <c r="A446" i="5"/>
  <c r="AF446" i="5"/>
  <c r="Q435" i="5"/>
  <c r="S435" i="5"/>
  <c r="I66" i="8"/>
  <c r="D75" i="6"/>
  <c r="E435" i="5"/>
  <c r="CR311" i="1"/>
  <c r="AD311" i="1"/>
  <c r="AB311" i="1" s="1"/>
  <c r="CT310" i="1"/>
  <c r="CS310" i="1"/>
  <c r="S404" i="5"/>
  <c r="Q404" i="5"/>
  <c r="AD308" i="1"/>
  <c r="AB308" i="1" s="1"/>
  <c r="I308" i="1"/>
  <c r="U308" i="1" s="1"/>
  <c r="K402" i="5" s="1"/>
  <c r="BY314" i="1"/>
  <c r="V383" i="5"/>
  <c r="J391" i="5" s="1"/>
  <c r="U383" i="5"/>
  <c r="R307" i="1"/>
  <c r="CT306" i="1"/>
  <c r="S306" i="1" s="1"/>
  <c r="CZ306" i="1" s="1"/>
  <c r="Y306" i="1" s="1"/>
  <c r="T379" i="5" s="1"/>
  <c r="CX170" i="3"/>
  <c r="D69" i="6"/>
  <c r="K382" i="5"/>
  <c r="E379" i="5"/>
  <c r="BZ314" i="1"/>
  <c r="CS304" i="1"/>
  <c r="AD304" i="1"/>
  <c r="AB304" i="1" s="1"/>
  <c r="U340" i="5"/>
  <c r="S319" i="5"/>
  <c r="Q319" i="5"/>
  <c r="W265" i="1"/>
  <c r="S309" i="5"/>
  <c r="Q309" i="5"/>
  <c r="CR264" i="1"/>
  <c r="Q264" i="1" s="1"/>
  <c r="J301" i="5" s="1"/>
  <c r="T264" i="1"/>
  <c r="CT263" i="1"/>
  <c r="AD263" i="1"/>
  <c r="AB263" i="1" s="1"/>
  <c r="BZ271" i="1"/>
  <c r="BX259" i="1"/>
  <c r="G150" i="1"/>
  <c r="A30" i="7" s="1"/>
  <c r="A44" i="7"/>
  <c r="A275" i="5"/>
  <c r="CT197" i="1"/>
  <c r="CT196" i="1"/>
  <c r="AD196" i="1"/>
  <c r="AB196" i="1" s="1"/>
  <c r="I196" i="1"/>
  <c r="Q196" i="1" s="1"/>
  <c r="CT195" i="1"/>
  <c r="S195" i="1" s="1"/>
  <c r="V195" i="1"/>
  <c r="CS195" i="1"/>
  <c r="U253" i="5"/>
  <c r="CR194" i="1"/>
  <c r="Q194" i="1" s="1"/>
  <c r="J249" i="5" s="1"/>
  <c r="I252" i="5" s="1"/>
  <c r="AD194" i="1"/>
  <c r="AB194" i="1" s="1"/>
  <c r="CT193" i="1"/>
  <c r="S193" i="1" s="1"/>
  <c r="J240" i="5" s="1"/>
  <c r="S238" i="5"/>
  <c r="Q238" i="5"/>
  <c r="AS160" i="1"/>
  <c r="AS154" i="1" s="1"/>
  <c r="W158" i="1"/>
  <c r="CT158" i="1"/>
  <c r="S158" i="1" s="1"/>
  <c r="S229" i="5"/>
  <c r="Q229" i="5"/>
  <c r="CT157" i="1"/>
  <c r="S157" i="1" s="1"/>
  <c r="CY157" i="1" s="1"/>
  <c r="X157" i="1" s="1"/>
  <c r="R225" i="5" s="1"/>
  <c r="AI160" i="1"/>
  <c r="CS156" i="1"/>
  <c r="U215" i="5"/>
  <c r="D47" i="6"/>
  <c r="I28" i="8"/>
  <c r="I27" i="8"/>
  <c r="I29" i="8"/>
  <c r="E215" i="5"/>
  <c r="CT117" i="1"/>
  <c r="S117" i="1" s="1"/>
  <c r="J199" i="5" s="1"/>
  <c r="S197" i="5"/>
  <c r="Q197" i="5"/>
  <c r="I24" i="8"/>
  <c r="D44" i="6"/>
  <c r="C198" i="5"/>
  <c r="E197" i="5"/>
  <c r="P116" i="1"/>
  <c r="J191" i="5" s="1"/>
  <c r="CR115" i="1"/>
  <c r="Q115" i="1" s="1"/>
  <c r="J179" i="5" s="1"/>
  <c r="AD115" i="1"/>
  <c r="AB115" i="1" s="1"/>
  <c r="CS114" i="1"/>
  <c r="AD114" i="1"/>
  <c r="AB114" i="1" s="1"/>
  <c r="CS112" i="1"/>
  <c r="U163" i="5"/>
  <c r="CT111" i="1"/>
  <c r="S111" i="1" s="1"/>
  <c r="J155" i="5" s="1"/>
  <c r="D38" i="6"/>
  <c r="C154" i="5"/>
  <c r="E153" i="5"/>
  <c r="CR110" i="1"/>
  <c r="Q110" i="1" s="1"/>
  <c r="J146" i="5" s="1"/>
  <c r="U110" i="1"/>
  <c r="K151" i="5" s="1"/>
  <c r="AD110" i="1"/>
  <c r="AB110" i="1" s="1"/>
  <c r="W75" i="1"/>
  <c r="CT75" i="1"/>
  <c r="S75" i="1" s="1"/>
  <c r="S127" i="5"/>
  <c r="Q127" i="5"/>
  <c r="CR74" i="1"/>
  <c r="Q74" i="1" s="1"/>
  <c r="J119" i="5" s="1"/>
  <c r="AD74" i="1"/>
  <c r="AB74" i="1" s="1"/>
  <c r="I17" i="8"/>
  <c r="I16" i="8"/>
  <c r="D34" i="6"/>
  <c r="E117" i="5"/>
  <c r="S106" i="5"/>
  <c r="Q106" i="5"/>
  <c r="I15" i="8"/>
  <c r="I14" i="8"/>
  <c r="D33" i="6"/>
  <c r="C107" i="5"/>
  <c r="E106" i="5"/>
  <c r="CT72" i="1"/>
  <c r="S87" i="5"/>
  <c r="Q87" i="5"/>
  <c r="BC37" i="1"/>
  <c r="BC26" i="1" s="1"/>
  <c r="GK35" i="1"/>
  <c r="CR34" i="1"/>
  <c r="Q34" i="1" s="1"/>
  <c r="J64" i="5" s="1"/>
  <c r="AD34" i="1"/>
  <c r="AB34" i="1" s="1"/>
  <c r="D27" i="6"/>
  <c r="I11" i="8"/>
  <c r="I10" i="8"/>
  <c r="E62" i="5"/>
  <c r="V33" i="1"/>
  <c r="AI37" i="1" s="1"/>
  <c r="CS33" i="1"/>
  <c r="U51" i="5"/>
  <c r="CR32" i="1"/>
  <c r="Q32" i="1" s="1"/>
  <c r="J48" i="5" s="1"/>
  <c r="I50" i="5" s="1"/>
  <c r="P50" i="5" s="1"/>
  <c r="T32" i="1"/>
  <c r="R32" i="1"/>
  <c r="J49" i="5" s="1"/>
  <c r="CR30" i="1"/>
  <c r="Q30" i="1" s="1"/>
  <c r="J39" i="5" s="1"/>
  <c r="CT29" i="1"/>
  <c r="S29" i="1" s="1"/>
  <c r="J30" i="5" s="1"/>
  <c r="S28" i="5"/>
  <c r="Q28" i="5"/>
  <c r="D22" i="6"/>
  <c r="C29" i="5"/>
  <c r="E28" i="5"/>
  <c r="AD28" i="1"/>
  <c r="AB28" i="1" s="1"/>
  <c r="CX60" i="3"/>
  <c r="CX16" i="3"/>
  <c r="CX53" i="3"/>
  <c r="CX9" i="3"/>
  <c r="CB302" i="1"/>
  <c r="AS314" i="1"/>
  <c r="CY355" i="1"/>
  <c r="X355" i="1" s="1"/>
  <c r="R520" i="5" s="1"/>
  <c r="J523" i="5" s="1"/>
  <c r="AD354" i="1"/>
  <c r="AB354" i="1" s="1"/>
  <c r="CR354" i="1"/>
  <c r="Q354" i="1" s="1"/>
  <c r="J512" i="5" s="1"/>
  <c r="CY353" i="1"/>
  <c r="X353" i="1" s="1"/>
  <c r="R500" i="5" s="1"/>
  <c r="J505" i="5" s="1"/>
  <c r="CB345" i="1"/>
  <c r="AS358" i="1"/>
  <c r="AB347" i="1"/>
  <c r="CQ347" i="1"/>
  <c r="P347" i="1" s="1"/>
  <c r="CQ309" i="1"/>
  <c r="P309" i="1" s="1"/>
  <c r="CY194" i="1"/>
  <c r="X194" i="1" s="1"/>
  <c r="R248" i="5" s="1"/>
  <c r="CX253" i="3"/>
  <c r="P354" i="1"/>
  <c r="J514" i="5" s="1"/>
  <c r="CS353" i="1"/>
  <c r="AD353" i="1"/>
  <c r="AB353" i="1" s="1"/>
  <c r="CR353" i="1"/>
  <c r="Q353" i="1" s="1"/>
  <c r="J502" i="5" s="1"/>
  <c r="CY348" i="1"/>
  <c r="X348" i="1" s="1"/>
  <c r="R460" i="5" s="1"/>
  <c r="CZ348" i="1"/>
  <c r="Y348" i="1" s="1"/>
  <c r="T460" i="5" s="1"/>
  <c r="CQ306" i="1"/>
  <c r="P306" i="1" s="1"/>
  <c r="CP306" i="1" s="1"/>
  <c r="O306" i="1" s="1"/>
  <c r="AB306" i="1"/>
  <c r="AB305" i="1"/>
  <c r="CZ304" i="1"/>
  <c r="Y304" i="1" s="1"/>
  <c r="T365" i="5" s="1"/>
  <c r="J371" i="5" s="1"/>
  <c r="CY304" i="1"/>
  <c r="X304" i="1" s="1"/>
  <c r="R365" i="5" s="1"/>
  <c r="J370" i="5" s="1"/>
  <c r="F180" i="1"/>
  <c r="CY356" i="1"/>
  <c r="X356" i="1" s="1"/>
  <c r="W355" i="1"/>
  <c r="T355" i="1"/>
  <c r="CQ355" i="1"/>
  <c r="P355" i="1" s="1"/>
  <c r="CP355" i="1" s="1"/>
  <c r="O355" i="1" s="1"/>
  <c r="AB355" i="1"/>
  <c r="CS354" i="1"/>
  <c r="AD348" i="1"/>
  <c r="AB348" i="1" s="1"/>
  <c r="CS348" i="1"/>
  <c r="CR348" i="1"/>
  <c r="Q348" i="1" s="1"/>
  <c r="CY309" i="1"/>
  <c r="X309" i="1" s="1"/>
  <c r="R404" i="5" s="1"/>
  <c r="J410" i="5" s="1"/>
  <c r="AP314" i="1"/>
  <c r="BY302" i="1"/>
  <c r="CY265" i="1"/>
  <c r="X265" i="1" s="1"/>
  <c r="R309" i="5" s="1"/>
  <c r="J314" i="5" s="1"/>
  <c r="CZ265" i="1"/>
  <c r="Y265" i="1" s="1"/>
  <c r="T309" i="5" s="1"/>
  <c r="J315" i="5" s="1"/>
  <c r="BZ259" i="1"/>
  <c r="AQ271" i="1"/>
  <c r="CL345" i="1"/>
  <c r="BC358" i="1"/>
  <c r="CX250" i="3"/>
  <c r="CX247" i="3"/>
  <c r="CX252" i="3"/>
  <c r="CX251" i="3"/>
  <c r="CX249" i="3"/>
  <c r="CX248" i="3"/>
  <c r="F318" i="1"/>
  <c r="AO302" i="1"/>
  <c r="U354" i="1"/>
  <c r="CC345" i="1"/>
  <c r="AT358" i="1"/>
  <c r="CQ312" i="1"/>
  <c r="P312" i="1" s="1"/>
  <c r="AB312" i="1"/>
  <c r="CZ269" i="1"/>
  <c r="Y269" i="1" s="1"/>
  <c r="T350" i="5" s="1"/>
  <c r="J356" i="5" s="1"/>
  <c r="CY269" i="1"/>
  <c r="X269" i="1" s="1"/>
  <c r="R350" i="5" s="1"/>
  <c r="J355" i="5" s="1"/>
  <c r="CP156" i="1"/>
  <c r="O156" i="1" s="1"/>
  <c r="CJ154" i="1"/>
  <c r="AD113" i="1"/>
  <c r="AB113" i="1" s="1"/>
  <c r="CR113" i="1"/>
  <c r="Q113" i="1" s="1"/>
  <c r="J169" i="5" s="1"/>
  <c r="I171" i="5" s="1"/>
  <c r="P171" i="5" s="1"/>
  <c r="CS113" i="1"/>
  <c r="CC314" i="1"/>
  <c r="CY261" i="1"/>
  <c r="X261" i="1" s="1"/>
  <c r="R279" i="5" s="1"/>
  <c r="J284" i="5" s="1"/>
  <c r="BY191" i="1"/>
  <c r="AP199" i="1"/>
  <c r="T354" i="1"/>
  <c r="W354" i="1"/>
  <c r="S354" i="1"/>
  <c r="J511" i="5" s="1"/>
  <c r="CX226" i="3"/>
  <c r="CX230" i="3"/>
  <c r="CX225" i="3"/>
  <c r="CX231" i="3"/>
  <c r="CX224" i="3"/>
  <c r="CX229" i="3"/>
  <c r="CX232" i="3"/>
  <c r="CX228" i="3"/>
  <c r="CX227" i="3"/>
  <c r="CX218" i="3"/>
  <c r="CX222" i="3"/>
  <c r="CX220" i="3"/>
  <c r="CX219" i="3"/>
  <c r="CX221" i="3"/>
  <c r="CX223" i="3"/>
  <c r="CX216" i="3"/>
  <c r="CX217" i="3"/>
  <c r="AB349" i="1"/>
  <c r="BC302" i="1"/>
  <c r="CZ312" i="1"/>
  <c r="Y312" i="1" s="1"/>
  <c r="T435" i="5" s="1"/>
  <c r="J441" i="5" s="1"/>
  <c r="AB310" i="1"/>
  <c r="AD268" i="1"/>
  <c r="AB268" i="1" s="1"/>
  <c r="CS268" i="1"/>
  <c r="CR268" i="1"/>
  <c r="Q268" i="1" s="1"/>
  <c r="J342" i="5" s="1"/>
  <c r="CQ265" i="1"/>
  <c r="P265" i="1" s="1"/>
  <c r="AB265" i="1"/>
  <c r="CZ158" i="1"/>
  <c r="Y158" i="1" s="1"/>
  <c r="T229" i="5" s="1"/>
  <c r="CY158" i="1"/>
  <c r="X158" i="1" s="1"/>
  <c r="R229" i="5" s="1"/>
  <c r="CQ157" i="1"/>
  <c r="P157" i="1" s="1"/>
  <c r="CP157" i="1" s="1"/>
  <c r="O157" i="1" s="1"/>
  <c r="CP113" i="1"/>
  <c r="O113" i="1" s="1"/>
  <c r="BC68" i="1"/>
  <c r="F93" i="1"/>
  <c r="AO68" i="1"/>
  <c r="F81" i="1"/>
  <c r="AB73" i="1"/>
  <c r="CQ73" i="1"/>
  <c r="P73" i="1" s="1"/>
  <c r="AB30" i="1"/>
  <c r="CQ30" i="1"/>
  <c r="P30" i="1" s="1"/>
  <c r="CP30" i="1" s="1"/>
  <c r="O30" i="1" s="1"/>
  <c r="CY29" i="1"/>
  <c r="X29" i="1" s="1"/>
  <c r="R28" i="5" s="1"/>
  <c r="J33" i="5" s="1"/>
  <c r="CZ29" i="1"/>
  <c r="Y29" i="1" s="1"/>
  <c r="T28" i="5" s="1"/>
  <c r="J34" i="5" s="1"/>
  <c r="F57" i="1"/>
  <c r="AO259" i="1"/>
  <c r="F275" i="1"/>
  <c r="CX124" i="3"/>
  <c r="I263" i="1"/>
  <c r="T263" i="1" s="1"/>
  <c r="AT191" i="1"/>
  <c r="BZ191" i="1"/>
  <c r="AQ199" i="1"/>
  <c r="CG199" i="1"/>
  <c r="V160" i="1"/>
  <c r="AI154" i="1"/>
  <c r="CS117" i="1"/>
  <c r="AD117" i="1"/>
  <c r="AB117" i="1" s="1"/>
  <c r="CR117" i="1"/>
  <c r="Q117" i="1" s="1"/>
  <c r="J200" i="5" s="1"/>
  <c r="AB352" i="1"/>
  <c r="BY358" i="1"/>
  <c r="BX302" i="1"/>
  <c r="CG314" i="1"/>
  <c r="CY306" i="1"/>
  <c r="X306" i="1" s="1"/>
  <c r="R379" i="5" s="1"/>
  <c r="CL259" i="1"/>
  <c r="BC271" i="1"/>
  <c r="CP269" i="1"/>
  <c r="O269" i="1" s="1"/>
  <c r="CX159" i="3"/>
  <c r="CX158" i="3"/>
  <c r="CX162" i="3"/>
  <c r="CX161" i="3"/>
  <c r="CX160" i="3"/>
  <c r="CX157" i="3"/>
  <c r="CZ267" i="1"/>
  <c r="Y267" i="1" s="1"/>
  <c r="T330" i="5" s="1"/>
  <c r="J336" i="5" s="1"/>
  <c r="GX262" i="1"/>
  <c r="AD262" i="1"/>
  <c r="AB262" i="1" s="1"/>
  <c r="CS262" i="1"/>
  <c r="CR262" i="1"/>
  <c r="Q262" i="1" s="1"/>
  <c r="J291" i="5" s="1"/>
  <c r="I293" i="5" s="1"/>
  <c r="P293" i="5" s="1"/>
  <c r="CL191" i="1"/>
  <c r="BC199" i="1"/>
  <c r="Q160" i="1"/>
  <c r="AH160" i="1"/>
  <c r="CY111" i="1"/>
  <c r="X111" i="1" s="1"/>
  <c r="R153" i="5" s="1"/>
  <c r="J158" i="5" s="1"/>
  <c r="CZ111" i="1"/>
  <c r="Y111" i="1" s="1"/>
  <c r="T153" i="5" s="1"/>
  <c r="J159" i="5" s="1"/>
  <c r="CJ26" i="1"/>
  <c r="CS305" i="1"/>
  <c r="P268" i="1"/>
  <c r="Q263" i="1"/>
  <c r="J295" i="5" s="1"/>
  <c r="I297" i="5" s="1"/>
  <c r="P297" i="5" s="1"/>
  <c r="R263" i="1"/>
  <c r="J296" i="5" s="1"/>
  <c r="P262" i="1"/>
  <c r="AO160" i="1"/>
  <c r="BX154" i="1"/>
  <c r="CY70" i="1"/>
  <c r="X70" i="1" s="1"/>
  <c r="R87" i="5" s="1"/>
  <c r="J92" i="5" s="1"/>
  <c r="CZ70" i="1"/>
  <c r="Y70" i="1" s="1"/>
  <c r="T87" i="5" s="1"/>
  <c r="J93" i="5" s="1"/>
  <c r="CG358" i="1"/>
  <c r="AO358" i="1"/>
  <c r="CX254" i="3"/>
  <c r="CX258" i="3"/>
  <c r="CX257" i="3"/>
  <c r="CX256" i="3"/>
  <c r="CX261" i="3"/>
  <c r="CX255" i="3"/>
  <c r="CX259" i="3"/>
  <c r="CX260" i="3"/>
  <c r="CX234" i="3"/>
  <c r="CX236" i="3"/>
  <c r="CX235" i="3"/>
  <c r="CX233" i="3"/>
  <c r="CX211" i="3"/>
  <c r="CX213" i="3"/>
  <c r="BB314" i="1"/>
  <c r="CX210" i="3"/>
  <c r="CX209" i="3"/>
  <c r="CX208" i="3"/>
  <c r="CX182" i="3"/>
  <c r="CX179" i="3"/>
  <c r="CX183" i="3"/>
  <c r="CX185" i="3"/>
  <c r="CX187" i="3"/>
  <c r="CX174" i="3"/>
  <c r="CX178" i="3"/>
  <c r="CX173" i="3"/>
  <c r="CX172" i="3"/>
  <c r="CX177" i="3"/>
  <c r="CX171" i="3"/>
  <c r="CX175" i="3"/>
  <c r="CX176" i="3"/>
  <c r="CR305" i="1"/>
  <c r="Q305" i="1" s="1"/>
  <c r="J376" i="5" s="1"/>
  <c r="I378" i="5" s="1"/>
  <c r="U304" i="1"/>
  <c r="K373" i="5" s="1"/>
  <c r="AB269" i="1"/>
  <c r="T268" i="1"/>
  <c r="CR267" i="1"/>
  <c r="Q267" i="1" s="1"/>
  <c r="AD267" i="1"/>
  <c r="AB267" i="1" s="1"/>
  <c r="AB266" i="1"/>
  <c r="W264" i="1"/>
  <c r="S264" i="1"/>
  <c r="J300" i="5" s="1"/>
  <c r="GX263" i="1"/>
  <c r="CQ263" i="1"/>
  <c r="P263" i="1" s="1"/>
  <c r="U263" i="1"/>
  <c r="CC271" i="1"/>
  <c r="T262" i="1"/>
  <c r="CR261" i="1"/>
  <c r="Q261" i="1" s="1"/>
  <c r="AD261" i="1"/>
  <c r="AB261" i="1" s="1"/>
  <c r="CS197" i="1"/>
  <c r="AD197" i="1"/>
  <c r="AB197" i="1" s="1"/>
  <c r="CZ157" i="1"/>
  <c r="Y157" i="1" s="1"/>
  <c r="T225" i="5" s="1"/>
  <c r="CZ115" i="1"/>
  <c r="Y115" i="1" s="1"/>
  <c r="T176" i="5" s="1"/>
  <c r="J183" i="5" s="1"/>
  <c r="AB112" i="1"/>
  <c r="CQ112" i="1"/>
  <c r="P112" i="1" s="1"/>
  <c r="CP112" i="1" s="1"/>
  <c r="O112" i="1" s="1"/>
  <c r="AP77" i="1"/>
  <c r="BY68" i="1"/>
  <c r="CZ73" i="1"/>
  <c r="Y73" i="1" s="1"/>
  <c r="T106" i="5" s="1"/>
  <c r="J113" i="5" s="1"/>
  <c r="CY73" i="1"/>
  <c r="X73" i="1" s="1"/>
  <c r="R106" i="5" s="1"/>
  <c r="J112" i="5" s="1"/>
  <c r="CK26" i="1"/>
  <c r="BB37" i="1"/>
  <c r="AB307" i="1"/>
  <c r="V263" i="1"/>
  <c r="BY271" i="1"/>
  <c r="BB199" i="1"/>
  <c r="AB195" i="1"/>
  <c r="CK154" i="1"/>
  <c r="BB160" i="1"/>
  <c r="CX238" i="3"/>
  <c r="CX242" i="3"/>
  <c r="CX246" i="3"/>
  <c r="CX241" i="3"/>
  <c r="CX240" i="3"/>
  <c r="CX245" i="3"/>
  <c r="CX243" i="3"/>
  <c r="CX244" i="3"/>
  <c r="CX237" i="3"/>
  <c r="CX239" i="3"/>
  <c r="CX190" i="3"/>
  <c r="CX189" i="3"/>
  <c r="CX188" i="3"/>
  <c r="CX191" i="3"/>
  <c r="I310" i="1"/>
  <c r="Q415" i="5" s="1"/>
  <c r="CX167" i="3"/>
  <c r="CX166" i="3"/>
  <c r="CX168" i="3"/>
  <c r="W268" i="1"/>
  <c r="S268" i="1"/>
  <c r="J341" i="5" s="1"/>
  <c r="CX135" i="3"/>
  <c r="CX139" i="3"/>
  <c r="CX134" i="3"/>
  <c r="CX138" i="3"/>
  <c r="CX142" i="3"/>
  <c r="CX137" i="3"/>
  <c r="CX136" i="3"/>
  <c r="CX140" i="3"/>
  <c r="CX141" i="3"/>
  <c r="CX127" i="3"/>
  <c r="CX131" i="3"/>
  <c r="CX126" i="3"/>
  <c r="CX130" i="3"/>
  <c r="CX129" i="3"/>
  <c r="CX128" i="3"/>
  <c r="CX132" i="3"/>
  <c r="CX133" i="3"/>
  <c r="CB271" i="1"/>
  <c r="W262" i="1"/>
  <c r="S262" i="1"/>
  <c r="CP194" i="1"/>
  <c r="O194" i="1" s="1"/>
  <c r="CC154" i="1"/>
  <c r="AT160" i="1"/>
  <c r="CP158" i="1"/>
  <c r="O158" i="1" s="1"/>
  <c r="AG160" i="1"/>
  <c r="CB108" i="1"/>
  <c r="CY117" i="1"/>
  <c r="X117" i="1" s="1"/>
  <c r="R197" i="5" s="1"/>
  <c r="J203" i="5" s="1"/>
  <c r="CZ117" i="1"/>
  <c r="Y117" i="1" s="1"/>
  <c r="T197" i="5" s="1"/>
  <c r="J204" i="5" s="1"/>
  <c r="AP119" i="1"/>
  <c r="AD111" i="1"/>
  <c r="AB111" i="1" s="1"/>
  <c r="CR111" i="1"/>
  <c r="Q111" i="1" s="1"/>
  <c r="CS111" i="1"/>
  <c r="GK110" i="1"/>
  <c r="CP110" i="1"/>
  <c r="O110" i="1" s="1"/>
  <c r="BX68" i="1"/>
  <c r="F41" i="1"/>
  <c r="CX212" i="3"/>
  <c r="CG271" i="1"/>
  <c r="CX143" i="3"/>
  <c r="CX146" i="3"/>
  <c r="CX145" i="3"/>
  <c r="CX144" i="3"/>
  <c r="CX115" i="3"/>
  <c r="CX114" i="3"/>
  <c r="W193" i="1"/>
  <c r="AO119" i="1"/>
  <c r="BX108" i="1"/>
  <c r="AB116" i="1"/>
  <c r="CC119" i="1"/>
  <c r="GX113" i="1"/>
  <c r="CX66" i="3"/>
  <c r="CX65" i="3"/>
  <c r="CX64" i="3"/>
  <c r="BZ119" i="1"/>
  <c r="CZ75" i="1"/>
  <c r="Y75" i="1" s="1"/>
  <c r="T127" i="5" s="1"/>
  <c r="J134" i="5" s="1"/>
  <c r="AB75" i="1"/>
  <c r="CB77" i="1"/>
  <c r="CC77" i="1"/>
  <c r="CP35" i="1"/>
  <c r="O35" i="1" s="1"/>
  <c r="CS31" i="1"/>
  <c r="AD31" i="1"/>
  <c r="AB31" i="1" s="1"/>
  <c r="CR31" i="1"/>
  <c r="Q31" i="1" s="1"/>
  <c r="CX147" i="3"/>
  <c r="CX151" i="3"/>
  <c r="CX155" i="3"/>
  <c r="CX150" i="3"/>
  <c r="CX154" i="3"/>
  <c r="CX153" i="3"/>
  <c r="CX152" i="3"/>
  <c r="CX148" i="3"/>
  <c r="CX149" i="3"/>
  <c r="CX123" i="3"/>
  <c r="CX122" i="3"/>
  <c r="CX121" i="3"/>
  <c r="CX107" i="3"/>
  <c r="CX106" i="3"/>
  <c r="CX110" i="3"/>
  <c r="CX108" i="3"/>
  <c r="CX109" i="3"/>
  <c r="I197" i="1"/>
  <c r="Q261" i="5" s="1"/>
  <c r="AP160" i="1"/>
  <c r="BZ154" i="1"/>
  <c r="AJ160" i="1"/>
  <c r="BC108" i="1"/>
  <c r="F135" i="1"/>
  <c r="CX69" i="3"/>
  <c r="CX68" i="3"/>
  <c r="I114" i="1"/>
  <c r="Q172" i="5" s="1"/>
  <c r="F53" i="1"/>
  <c r="CZ35" i="1"/>
  <c r="Y35" i="1" s="1"/>
  <c r="T72" i="5" s="1"/>
  <c r="J78" i="5" s="1"/>
  <c r="CY35" i="1"/>
  <c r="X35" i="1" s="1"/>
  <c r="R72" i="5" s="1"/>
  <c r="J77" i="5" s="1"/>
  <c r="CC37" i="1"/>
  <c r="CX113" i="3"/>
  <c r="CX112" i="3"/>
  <c r="BC160" i="1"/>
  <c r="BB119" i="1"/>
  <c r="CX83" i="3"/>
  <c r="CX87" i="3"/>
  <c r="CX82" i="3"/>
  <c r="CX86" i="3"/>
  <c r="CX80" i="3"/>
  <c r="CX88" i="3"/>
  <c r="CX85" i="3"/>
  <c r="CX81" i="3"/>
  <c r="CX75" i="3"/>
  <c r="CX79" i="3"/>
  <c r="CX74" i="3"/>
  <c r="CX78" i="3"/>
  <c r="CX72" i="3"/>
  <c r="CX77" i="3"/>
  <c r="CX76" i="3"/>
  <c r="P111" i="1"/>
  <c r="BB68" i="1"/>
  <c r="F90" i="1"/>
  <c r="CX59" i="3"/>
  <c r="CX58" i="3"/>
  <c r="CX57" i="3"/>
  <c r="CX56" i="3"/>
  <c r="BZ77" i="1"/>
  <c r="AB71" i="1"/>
  <c r="CX35" i="3"/>
  <c r="CX34" i="3"/>
  <c r="CX36" i="3"/>
  <c r="I71" i="1"/>
  <c r="Q97" i="5" s="1"/>
  <c r="CK68" i="1"/>
  <c r="AB33" i="1"/>
  <c r="CQ33" i="1"/>
  <c r="P33" i="1" s="1"/>
  <c r="AD29" i="1"/>
  <c r="AB29" i="1" s="1"/>
  <c r="CR29" i="1"/>
  <c r="Q29" i="1" s="1"/>
  <c r="CS29" i="1"/>
  <c r="CX105" i="3"/>
  <c r="CX104" i="3"/>
  <c r="CX95" i="3"/>
  <c r="CX99" i="3"/>
  <c r="CX94" i="3"/>
  <c r="CX98" i="3"/>
  <c r="CX96" i="3"/>
  <c r="CX93" i="3"/>
  <c r="CX101" i="3"/>
  <c r="CX97" i="3"/>
  <c r="CX100" i="3"/>
  <c r="CX91" i="3"/>
  <c r="CX90" i="3"/>
  <c r="CX92" i="3"/>
  <c r="CX89" i="3"/>
  <c r="T111" i="1"/>
  <c r="BZ26" i="1"/>
  <c r="AQ37" i="1"/>
  <c r="CG37" i="1"/>
  <c r="CB37" i="1"/>
  <c r="AH37" i="1"/>
  <c r="CX84" i="3"/>
  <c r="CX39" i="3"/>
  <c r="CX43" i="3"/>
  <c r="CX42" i="3"/>
  <c r="CX46" i="3"/>
  <c r="CX41" i="3"/>
  <c r="CX40" i="3"/>
  <c r="CX45" i="3"/>
  <c r="AB35" i="1"/>
  <c r="CP32" i="1"/>
  <c r="O32" i="1" s="1"/>
  <c r="BY37" i="1"/>
  <c r="CX7" i="3"/>
  <c r="CX6" i="3"/>
  <c r="CX5" i="3"/>
  <c r="CX44" i="3"/>
  <c r="CX63" i="3"/>
  <c r="CX62" i="3"/>
  <c r="CX61" i="3"/>
  <c r="CX47" i="3"/>
  <c r="CX51" i="3"/>
  <c r="CX55" i="3"/>
  <c r="CX50" i="3"/>
  <c r="CX54" i="3"/>
  <c r="CX49" i="3"/>
  <c r="CX48" i="3"/>
  <c r="CX52" i="3"/>
  <c r="CX23" i="3"/>
  <c r="CX27" i="3"/>
  <c r="CX22" i="3"/>
  <c r="CX26" i="3"/>
  <c r="CX21" i="3"/>
  <c r="CX29" i="3"/>
  <c r="CX28" i="3"/>
  <c r="CX11" i="3"/>
  <c r="CX12" i="3"/>
  <c r="P29" i="1"/>
  <c r="CX25" i="3"/>
  <c r="CX15" i="3"/>
  <c r="CX19" i="3"/>
  <c r="CX14" i="3"/>
  <c r="CX18" i="3"/>
  <c r="CX3" i="3"/>
  <c r="CX2" i="3"/>
  <c r="CX20" i="3"/>
  <c r="CX4" i="3"/>
  <c r="CX13" i="3"/>
  <c r="I42" i="5" l="1"/>
  <c r="P42" i="5" s="1"/>
  <c r="K467" i="5"/>
  <c r="CP29" i="1"/>
  <c r="O29" i="1" s="1"/>
  <c r="CY34" i="1"/>
  <c r="X34" i="1" s="1"/>
  <c r="R62" i="5" s="1"/>
  <c r="J67" i="5" s="1"/>
  <c r="CP75" i="1"/>
  <c r="O75" i="1" s="1"/>
  <c r="U114" i="1"/>
  <c r="AF160" i="1"/>
  <c r="AQ160" i="1"/>
  <c r="F170" i="1" s="1"/>
  <c r="CI160" i="1"/>
  <c r="CP117" i="1"/>
  <c r="O117" i="1" s="1"/>
  <c r="AI271" i="1"/>
  <c r="CY115" i="1"/>
  <c r="X115" i="1" s="1"/>
  <c r="R176" i="5" s="1"/>
  <c r="J182" i="5" s="1"/>
  <c r="I186" i="5" s="1"/>
  <c r="CX180" i="3"/>
  <c r="CX181" i="3"/>
  <c r="CX184" i="3"/>
  <c r="CX186" i="3"/>
  <c r="CP70" i="1"/>
  <c r="O70" i="1" s="1"/>
  <c r="CY267" i="1"/>
  <c r="X267" i="1" s="1"/>
  <c r="R330" i="5" s="1"/>
  <c r="J335" i="5" s="1"/>
  <c r="CP307" i="1"/>
  <c r="O307" i="1" s="1"/>
  <c r="CY312" i="1"/>
  <c r="X312" i="1" s="1"/>
  <c r="R435" i="5" s="1"/>
  <c r="J440" i="5" s="1"/>
  <c r="CZ261" i="1"/>
  <c r="Y261" i="1" s="1"/>
  <c r="T279" i="5" s="1"/>
  <c r="J285" i="5" s="1"/>
  <c r="CP266" i="1"/>
  <c r="O266" i="1" s="1"/>
  <c r="R355" i="1"/>
  <c r="GK355" i="1" s="1"/>
  <c r="AQ358" i="1"/>
  <c r="F368" i="1" s="1"/>
  <c r="CZ353" i="1"/>
  <c r="Y353" i="1" s="1"/>
  <c r="T500" i="5" s="1"/>
  <c r="J506" i="5" s="1"/>
  <c r="CZ355" i="1"/>
  <c r="Y355" i="1" s="1"/>
  <c r="T520" i="5" s="1"/>
  <c r="J524" i="5" s="1"/>
  <c r="I526" i="5" s="1"/>
  <c r="CI314" i="1"/>
  <c r="U394" i="5"/>
  <c r="V394" i="5"/>
  <c r="J401" i="5" s="1"/>
  <c r="Q114" i="1"/>
  <c r="J173" i="5" s="1"/>
  <c r="I175" i="5" s="1"/>
  <c r="P175" i="5" s="1"/>
  <c r="P71" i="1"/>
  <c r="Q257" i="5"/>
  <c r="U294" i="5"/>
  <c r="S187" i="5"/>
  <c r="S172" i="5"/>
  <c r="T196" i="1"/>
  <c r="S294" i="5"/>
  <c r="V261" i="5"/>
  <c r="J268" i="5" s="1"/>
  <c r="CJ271" i="1"/>
  <c r="V257" i="5"/>
  <c r="K293" i="5"/>
  <c r="BB259" i="1"/>
  <c r="F284" i="1"/>
  <c r="I81" i="5"/>
  <c r="P81" i="5" s="1"/>
  <c r="K232" i="5"/>
  <c r="K81" i="5"/>
  <c r="J258" i="5"/>
  <c r="I260" i="5" s="1"/>
  <c r="P260" i="5" s="1"/>
  <c r="CP267" i="1"/>
  <c r="O267" i="1" s="1"/>
  <c r="J332" i="5"/>
  <c r="CP268" i="1"/>
  <c r="O268" i="1" s="1"/>
  <c r="J344" i="5"/>
  <c r="R262" i="1"/>
  <c r="V289" i="5"/>
  <c r="R113" i="1"/>
  <c r="J170" i="5" s="1"/>
  <c r="V168" i="5"/>
  <c r="CP312" i="1"/>
  <c r="O312" i="1" s="1"/>
  <c r="J439" i="5"/>
  <c r="R112" i="1"/>
  <c r="V163" i="5"/>
  <c r="J166" i="5" s="1"/>
  <c r="I167" i="5" s="1"/>
  <c r="CP352" i="1"/>
  <c r="O352" i="1" s="1"/>
  <c r="J494" i="5"/>
  <c r="N75" i="8"/>
  <c r="L75" i="8"/>
  <c r="CZ28" i="1"/>
  <c r="Y28" i="1" s="1"/>
  <c r="J20" i="5"/>
  <c r="CY28" i="1"/>
  <c r="X28" i="1" s="1"/>
  <c r="R18" i="5" s="1"/>
  <c r="J23" i="5" s="1"/>
  <c r="CY31" i="1"/>
  <c r="X31" i="1" s="1"/>
  <c r="R43" i="5" s="1"/>
  <c r="CZ31" i="1"/>
  <c r="Y31" i="1" s="1"/>
  <c r="T43" i="5" s="1"/>
  <c r="L57" i="8"/>
  <c r="F81" i="7" s="1"/>
  <c r="D81" i="7"/>
  <c r="N57" i="8"/>
  <c r="N40" i="8"/>
  <c r="L40" i="8"/>
  <c r="N42" i="8"/>
  <c r="H61" i="7" s="1"/>
  <c r="L42" i="8"/>
  <c r="F61" i="7" s="1"/>
  <c r="D61" i="7"/>
  <c r="N45" i="8"/>
  <c r="D57" i="7"/>
  <c r="L45" i="8"/>
  <c r="N82" i="8"/>
  <c r="L82" i="8"/>
  <c r="R158" i="1"/>
  <c r="J231" i="5" s="1"/>
  <c r="V229" i="5"/>
  <c r="N69" i="8"/>
  <c r="H92" i="7" s="1"/>
  <c r="D92" i="7"/>
  <c r="L69" i="8"/>
  <c r="GK75" i="1"/>
  <c r="J131" i="5"/>
  <c r="CP33" i="1"/>
  <c r="O33" i="1" s="1"/>
  <c r="J56" i="5"/>
  <c r="R71" i="1"/>
  <c r="J100" i="5" s="1"/>
  <c r="D31" i="6"/>
  <c r="E97" i="5"/>
  <c r="C98" i="5"/>
  <c r="CP111" i="1"/>
  <c r="O111" i="1" s="1"/>
  <c r="CP31" i="1"/>
  <c r="O31" i="1" s="1"/>
  <c r="GP31" i="1" s="1"/>
  <c r="J44" i="5"/>
  <c r="I46" i="5" s="1"/>
  <c r="U71" i="1"/>
  <c r="R111" i="1"/>
  <c r="V153" i="5"/>
  <c r="J160" i="5" s="1"/>
  <c r="S71" i="1"/>
  <c r="AH271" i="1"/>
  <c r="AH259" i="1" s="1"/>
  <c r="R305" i="1"/>
  <c r="J377" i="5" s="1"/>
  <c r="V375" i="5"/>
  <c r="R117" i="1"/>
  <c r="V197" i="5"/>
  <c r="J205" i="5" s="1"/>
  <c r="D59" i="6"/>
  <c r="E294" i="5"/>
  <c r="K297" i="5"/>
  <c r="AF37" i="1"/>
  <c r="AF26" i="1" s="1"/>
  <c r="W114" i="1"/>
  <c r="AJ119" i="1" s="1"/>
  <c r="CP264" i="1"/>
  <c r="O264" i="1" s="1"/>
  <c r="R268" i="1"/>
  <c r="V340" i="5"/>
  <c r="J347" i="5" s="1"/>
  <c r="AJ358" i="1"/>
  <c r="F177" i="1"/>
  <c r="CY347" i="1"/>
  <c r="X347" i="1" s="1"/>
  <c r="R450" i="5" s="1"/>
  <c r="J455" i="5" s="1"/>
  <c r="CP350" i="1"/>
  <c r="O350" i="1" s="1"/>
  <c r="CP348" i="1"/>
  <c r="O348" i="1" s="1"/>
  <c r="J461" i="5"/>
  <c r="I463" i="5" s="1"/>
  <c r="R354" i="1"/>
  <c r="V510" i="5"/>
  <c r="J517" i="5" s="1"/>
  <c r="CP309" i="1"/>
  <c r="O309" i="1" s="1"/>
  <c r="J409" i="5"/>
  <c r="R33" i="1"/>
  <c r="V51" i="5"/>
  <c r="J59" i="5" s="1"/>
  <c r="N10" i="8"/>
  <c r="L10" i="8"/>
  <c r="L15" i="8"/>
  <c r="F18" i="7" s="1"/>
  <c r="D18" i="7"/>
  <c r="N15" i="8"/>
  <c r="H18" i="7" s="1"/>
  <c r="CY75" i="1"/>
  <c r="X75" i="1" s="1"/>
  <c r="R127" i="5" s="1"/>
  <c r="J133" i="5" s="1"/>
  <c r="J129" i="5"/>
  <c r="I207" i="5"/>
  <c r="D35" i="7"/>
  <c r="N27" i="8"/>
  <c r="H35" i="7" s="1"/>
  <c r="L27" i="8"/>
  <c r="F35" i="7" s="1"/>
  <c r="R156" i="1"/>
  <c r="V215" i="5"/>
  <c r="J222" i="5" s="1"/>
  <c r="P252" i="5"/>
  <c r="K252" i="5"/>
  <c r="CY195" i="1"/>
  <c r="X195" i="1" s="1"/>
  <c r="R253" i="5" s="1"/>
  <c r="CZ195" i="1"/>
  <c r="Y195" i="1" s="1"/>
  <c r="T253" i="5" s="1"/>
  <c r="S196" i="1"/>
  <c r="AF199" i="1" s="1"/>
  <c r="AQ314" i="1"/>
  <c r="BZ302" i="1"/>
  <c r="R349" i="1"/>
  <c r="J466" i="5" s="1"/>
  <c r="V464" i="5"/>
  <c r="N76" i="8"/>
  <c r="D96" i="7"/>
  <c r="L76" i="8"/>
  <c r="R196" i="1"/>
  <c r="J259" i="5" s="1"/>
  <c r="R74" i="1"/>
  <c r="V117" i="5"/>
  <c r="J124" i="5" s="1"/>
  <c r="U172" i="5"/>
  <c r="GX116" i="1"/>
  <c r="J250" i="5"/>
  <c r="GK194" i="1"/>
  <c r="GP194" i="1" s="1"/>
  <c r="S257" i="5"/>
  <c r="V294" i="5"/>
  <c r="Q394" i="5"/>
  <c r="S415" i="5"/>
  <c r="U97" i="5"/>
  <c r="N20" i="8"/>
  <c r="L20" i="8"/>
  <c r="V238" i="5"/>
  <c r="J245" i="5" s="1"/>
  <c r="R193" i="1"/>
  <c r="GK34" i="1"/>
  <c r="J65" i="5"/>
  <c r="V87" i="5"/>
  <c r="J94" i="5" s="1"/>
  <c r="I96" i="5" s="1"/>
  <c r="R70" i="1"/>
  <c r="V116" i="1"/>
  <c r="CP195" i="1"/>
  <c r="O195" i="1" s="1"/>
  <c r="N38" i="8"/>
  <c r="H54" i="7" s="1"/>
  <c r="D54" i="7"/>
  <c r="L38" i="8"/>
  <c r="F54" i="7" s="1"/>
  <c r="N41" i="8"/>
  <c r="H53" i="7" s="1"/>
  <c r="D53" i="7"/>
  <c r="L41" i="8"/>
  <c r="F53" i="7" s="1"/>
  <c r="N46" i="8"/>
  <c r="H56" i="7" s="1"/>
  <c r="L46" i="8"/>
  <c r="F56" i="7" s="1"/>
  <c r="D56" i="7"/>
  <c r="L54" i="8"/>
  <c r="F72" i="7" s="1"/>
  <c r="D72" i="7"/>
  <c r="N54" i="8"/>
  <c r="U510" i="5"/>
  <c r="D21" i="7"/>
  <c r="L18" i="8"/>
  <c r="F21" i="7" s="1"/>
  <c r="N18" i="8"/>
  <c r="H21" i="7" s="1"/>
  <c r="CP115" i="1"/>
  <c r="O115" i="1" s="1"/>
  <c r="GM115" i="1" s="1"/>
  <c r="P308" i="1"/>
  <c r="S351" i="1"/>
  <c r="AF358" i="1" s="1"/>
  <c r="K42" i="5"/>
  <c r="R304" i="1"/>
  <c r="V365" i="5"/>
  <c r="J372" i="5" s="1"/>
  <c r="I374" i="5" s="1"/>
  <c r="R356" i="1"/>
  <c r="V527" i="5"/>
  <c r="J535" i="5" s="1"/>
  <c r="L33" i="8"/>
  <c r="N33" i="8"/>
  <c r="L53" i="8"/>
  <c r="N53" i="8"/>
  <c r="CY113" i="1"/>
  <c r="X113" i="1" s="1"/>
  <c r="R168" i="5" s="1"/>
  <c r="CZ113" i="1"/>
  <c r="Y113" i="1" s="1"/>
  <c r="T168" i="5" s="1"/>
  <c r="J156" i="5"/>
  <c r="CP261" i="1"/>
  <c r="O261" i="1" s="1"/>
  <c r="J282" i="5"/>
  <c r="CP305" i="1"/>
  <c r="O305" i="1" s="1"/>
  <c r="CP73" i="1"/>
  <c r="O73" i="1" s="1"/>
  <c r="J111" i="5"/>
  <c r="F203" i="1"/>
  <c r="CZ347" i="1"/>
  <c r="Y347" i="1" s="1"/>
  <c r="T450" i="5" s="1"/>
  <c r="J456" i="5" s="1"/>
  <c r="AH358" i="1"/>
  <c r="AH345" i="1" s="1"/>
  <c r="K518" i="5"/>
  <c r="R348" i="1"/>
  <c r="J462" i="5" s="1"/>
  <c r="V460" i="5"/>
  <c r="R527" i="5"/>
  <c r="J533" i="5" s="1"/>
  <c r="R353" i="1"/>
  <c r="V500" i="5"/>
  <c r="J507" i="5" s="1"/>
  <c r="I509" i="5" s="1"/>
  <c r="N11" i="8"/>
  <c r="H12" i="7" s="1"/>
  <c r="D12" i="7"/>
  <c r="L11" i="8"/>
  <c r="F12" i="7" s="1"/>
  <c r="V172" i="5"/>
  <c r="D28" i="7"/>
  <c r="N24" i="8"/>
  <c r="H28" i="7" s="1"/>
  <c r="L24" i="8"/>
  <c r="F28" i="7" s="1"/>
  <c r="N28" i="8"/>
  <c r="H34" i="7" s="1"/>
  <c r="D34" i="7"/>
  <c r="L28" i="8"/>
  <c r="F34" i="7" s="1"/>
  <c r="D54" i="6"/>
  <c r="E257" i="5"/>
  <c r="V196" i="1"/>
  <c r="GX196" i="1"/>
  <c r="U415" i="5"/>
  <c r="L66" i="8"/>
  <c r="F80" i="7" s="1"/>
  <c r="D80" i="7"/>
  <c r="N66" i="8"/>
  <c r="N73" i="8"/>
  <c r="L73" i="8"/>
  <c r="N77" i="8"/>
  <c r="H95" i="7" s="1"/>
  <c r="L77" i="8"/>
  <c r="F95" i="7" s="1"/>
  <c r="D95" i="7"/>
  <c r="K171" i="5"/>
  <c r="GK115" i="1"/>
  <c r="J180" i="5"/>
  <c r="I23" i="8"/>
  <c r="I22" i="8"/>
  <c r="D43" i="6"/>
  <c r="E187" i="5"/>
  <c r="CY156" i="1"/>
  <c r="X156" i="1" s="1"/>
  <c r="J216" i="5"/>
  <c r="CZ156" i="1"/>
  <c r="Y156" i="1" s="1"/>
  <c r="T215" i="5" s="1"/>
  <c r="J221" i="5" s="1"/>
  <c r="R267" i="1"/>
  <c r="V330" i="5"/>
  <c r="J337" i="5" s="1"/>
  <c r="N48" i="8"/>
  <c r="L48" i="8"/>
  <c r="S394" i="5"/>
  <c r="N72" i="8"/>
  <c r="H100" i="7" s="1"/>
  <c r="D100" i="7"/>
  <c r="L72" i="8"/>
  <c r="F100" i="7" s="1"/>
  <c r="K50" i="5"/>
  <c r="V97" i="5"/>
  <c r="CP74" i="1"/>
  <c r="O74" i="1" s="1"/>
  <c r="D25" i="7"/>
  <c r="N21" i="8"/>
  <c r="H25" i="7" s="1"/>
  <c r="L21" i="8"/>
  <c r="F25" i="7" s="1"/>
  <c r="W196" i="1"/>
  <c r="CY32" i="1"/>
  <c r="X32" i="1" s="1"/>
  <c r="R47" i="5" s="1"/>
  <c r="CZ32" i="1"/>
  <c r="Y32" i="1" s="1"/>
  <c r="T47" i="5" s="1"/>
  <c r="D13" i="7"/>
  <c r="N8" i="8"/>
  <c r="H13" i="7" s="1"/>
  <c r="L8" i="8"/>
  <c r="L32" i="8"/>
  <c r="N32" i="8"/>
  <c r="AS199" i="1"/>
  <c r="CB191" i="1"/>
  <c r="R261" i="1"/>
  <c r="V279" i="5"/>
  <c r="J286" i="5" s="1"/>
  <c r="D52" i="7"/>
  <c r="N39" i="8"/>
  <c r="H52" i="7" s="1"/>
  <c r="L39" i="8"/>
  <c r="F52" i="7" s="1"/>
  <c r="N43" i="8"/>
  <c r="D59" i="7"/>
  <c r="L43" i="8"/>
  <c r="F59" i="7" s="1"/>
  <c r="N47" i="8"/>
  <c r="D55" i="7"/>
  <c r="F55" i="7" s="1"/>
  <c r="H55" i="7" s="1"/>
  <c r="L47" i="8"/>
  <c r="T308" i="1"/>
  <c r="R347" i="1"/>
  <c r="V450" i="5"/>
  <c r="J457" i="5" s="1"/>
  <c r="R352" i="1"/>
  <c r="V489" i="5"/>
  <c r="J497" i="5" s="1"/>
  <c r="V354" i="1"/>
  <c r="AI358" i="1" s="1"/>
  <c r="V358" i="1" s="1"/>
  <c r="R266" i="1"/>
  <c r="V319" i="5"/>
  <c r="J327" i="5" s="1"/>
  <c r="I329" i="5" s="1"/>
  <c r="U196" i="1"/>
  <c r="W308" i="1"/>
  <c r="S116" i="1"/>
  <c r="CP116" i="1" s="1"/>
  <c r="O116" i="1" s="1"/>
  <c r="CY305" i="1"/>
  <c r="X305" i="1" s="1"/>
  <c r="R375" i="5" s="1"/>
  <c r="CZ305" i="1"/>
  <c r="Y305" i="1" s="1"/>
  <c r="T375" i="5" s="1"/>
  <c r="R312" i="1"/>
  <c r="V435" i="5"/>
  <c r="J442" i="5" s="1"/>
  <c r="I71" i="8"/>
  <c r="I70" i="8"/>
  <c r="D81" i="6"/>
  <c r="E479" i="5"/>
  <c r="R351" i="1"/>
  <c r="T116" i="1"/>
  <c r="Q479" i="5"/>
  <c r="K378" i="5"/>
  <c r="P378" i="5"/>
  <c r="CP353" i="1"/>
  <c r="O353" i="1" s="1"/>
  <c r="D20" i="7"/>
  <c r="L14" i="8"/>
  <c r="N14" i="8"/>
  <c r="D19" i="7"/>
  <c r="L17" i="8"/>
  <c r="F19" i="7" s="1"/>
  <c r="N17" i="8"/>
  <c r="H19" i="7" s="1"/>
  <c r="N29" i="8"/>
  <c r="H33" i="7" s="1"/>
  <c r="D33" i="7"/>
  <c r="L29" i="8"/>
  <c r="F33" i="7" s="1"/>
  <c r="N50" i="8"/>
  <c r="L50" i="8"/>
  <c r="CZ307" i="1"/>
  <c r="Y307" i="1" s="1"/>
  <c r="T383" i="5" s="1"/>
  <c r="J390" i="5" s="1"/>
  <c r="J385" i="5"/>
  <c r="R73" i="1"/>
  <c r="V106" i="5"/>
  <c r="J114" i="5" s="1"/>
  <c r="R116" i="1"/>
  <c r="V187" i="5"/>
  <c r="J194" i="5" s="1"/>
  <c r="R29" i="1"/>
  <c r="J32" i="5" s="1"/>
  <c r="V28" i="5"/>
  <c r="J35" i="5" s="1"/>
  <c r="CZ34" i="1"/>
  <c r="Y34" i="1" s="1"/>
  <c r="T62" i="5" s="1"/>
  <c r="J68" i="5" s="1"/>
  <c r="AD37" i="1"/>
  <c r="AD26" i="1" s="1"/>
  <c r="J31" i="5"/>
  <c r="CP34" i="1"/>
  <c r="O34" i="1" s="1"/>
  <c r="R114" i="1"/>
  <c r="D41" i="6"/>
  <c r="E172" i="5"/>
  <c r="K175" i="5"/>
  <c r="S197" i="1"/>
  <c r="J262" i="5" s="1"/>
  <c r="I34" i="8"/>
  <c r="D41" i="7" s="1"/>
  <c r="I35" i="8"/>
  <c r="D40" i="7" s="1"/>
  <c r="I36" i="8"/>
  <c r="D55" i="6"/>
  <c r="E261" i="5"/>
  <c r="R31" i="1"/>
  <c r="J45" i="5" s="1"/>
  <c r="V43" i="5"/>
  <c r="GX114" i="1"/>
  <c r="V310" i="1"/>
  <c r="I62" i="8"/>
  <c r="I61" i="8"/>
  <c r="I60" i="8"/>
  <c r="I59" i="8"/>
  <c r="I58" i="8"/>
  <c r="D73" i="6"/>
  <c r="E415" i="5"/>
  <c r="GP115" i="1"/>
  <c r="AG271" i="1"/>
  <c r="AG259" i="1" s="1"/>
  <c r="CP28" i="1"/>
  <c r="O28" i="1" s="1"/>
  <c r="CP265" i="1"/>
  <c r="O265" i="1" s="1"/>
  <c r="J313" i="5"/>
  <c r="AG358" i="1"/>
  <c r="T358" i="1" s="1"/>
  <c r="S97" i="5"/>
  <c r="L16" i="8"/>
  <c r="N16" i="8"/>
  <c r="R195" i="1"/>
  <c r="J255" i="5" s="1"/>
  <c r="V253" i="5"/>
  <c r="U257" i="5"/>
  <c r="GK307" i="1"/>
  <c r="GP307" i="1" s="1"/>
  <c r="J387" i="5"/>
  <c r="I56" i="8"/>
  <c r="I55" i="8"/>
  <c r="D71" i="6"/>
  <c r="E394" i="5"/>
  <c r="R308" i="1"/>
  <c r="V415" i="5"/>
  <c r="J422" i="5" s="1"/>
  <c r="CZ349" i="1"/>
  <c r="Y349" i="1" s="1"/>
  <c r="T464" i="5" s="1"/>
  <c r="CY349" i="1"/>
  <c r="X349" i="1" s="1"/>
  <c r="CY350" i="1"/>
  <c r="X350" i="1" s="1"/>
  <c r="R468" i="5" s="1"/>
  <c r="J474" i="5" s="1"/>
  <c r="J470" i="5"/>
  <c r="CZ350" i="1"/>
  <c r="Y350" i="1" s="1"/>
  <c r="T468" i="5" s="1"/>
  <c r="J475" i="5" s="1"/>
  <c r="I80" i="8"/>
  <c r="I79" i="8"/>
  <c r="I78" i="8"/>
  <c r="D84" i="6"/>
  <c r="E510" i="5"/>
  <c r="N74" i="8"/>
  <c r="L74" i="8"/>
  <c r="GX354" i="1"/>
  <c r="CJ358" i="1" s="1"/>
  <c r="R28" i="1"/>
  <c r="AE37" i="1" s="1"/>
  <c r="V18" i="5"/>
  <c r="J25" i="5" s="1"/>
  <c r="J40" i="5"/>
  <c r="GK30" i="1"/>
  <c r="U116" i="1"/>
  <c r="K195" i="5" s="1"/>
  <c r="U261" i="5"/>
  <c r="GK264" i="1"/>
  <c r="J302" i="5"/>
  <c r="N49" i="8"/>
  <c r="L49" i="8"/>
  <c r="S308" i="1"/>
  <c r="Q187" i="5"/>
  <c r="D11" i="7"/>
  <c r="N9" i="8"/>
  <c r="H11" i="7" s="1"/>
  <c r="L9" i="8"/>
  <c r="F11" i="7" s="1"/>
  <c r="J118" i="5"/>
  <c r="CY74" i="1"/>
  <c r="X74" i="1" s="1"/>
  <c r="R117" i="5" s="1"/>
  <c r="J122" i="5" s="1"/>
  <c r="CZ74" i="1"/>
  <c r="Y74" i="1" s="1"/>
  <c r="T117" i="5" s="1"/>
  <c r="J123" i="5" s="1"/>
  <c r="J145" i="5"/>
  <c r="CZ110" i="1"/>
  <c r="Y110" i="1" s="1"/>
  <c r="T143" i="5" s="1"/>
  <c r="J149" i="5" s="1"/>
  <c r="CY110" i="1"/>
  <c r="X110" i="1" s="1"/>
  <c r="R143" i="5" s="1"/>
  <c r="J148" i="5" s="1"/>
  <c r="U187" i="5"/>
  <c r="L31" i="8"/>
  <c r="N31" i="8"/>
  <c r="S261" i="5"/>
  <c r="Q294" i="5"/>
  <c r="V309" i="5"/>
  <c r="J316" i="5" s="1"/>
  <c r="R265" i="1"/>
  <c r="D58" i="7"/>
  <c r="N44" i="8"/>
  <c r="L44" i="8"/>
  <c r="F58" i="7" s="1"/>
  <c r="R269" i="1"/>
  <c r="V350" i="5"/>
  <c r="J357" i="5" s="1"/>
  <c r="I359" i="5" s="1"/>
  <c r="GX308" i="1"/>
  <c r="N81" i="8"/>
  <c r="L81" i="8"/>
  <c r="BB345" i="1"/>
  <c r="F371" i="1"/>
  <c r="P196" i="1"/>
  <c r="CP196" i="1" s="1"/>
  <c r="O196" i="1" s="1"/>
  <c r="V308" i="1"/>
  <c r="CZ352" i="1"/>
  <c r="Y352" i="1" s="1"/>
  <c r="T489" i="5" s="1"/>
  <c r="J496" i="5" s="1"/>
  <c r="J491" i="5"/>
  <c r="CY352" i="1"/>
  <c r="X352" i="1" s="1"/>
  <c r="R489" i="5" s="1"/>
  <c r="J495" i="5" s="1"/>
  <c r="V404" i="5"/>
  <c r="J412" i="5" s="1"/>
  <c r="R309" i="1"/>
  <c r="R350" i="1"/>
  <c r="V468" i="5"/>
  <c r="J476" i="5" s="1"/>
  <c r="Q308" i="1"/>
  <c r="J396" i="5" s="1"/>
  <c r="N68" i="8"/>
  <c r="D94" i="7"/>
  <c r="L68" i="8"/>
  <c r="S479" i="5"/>
  <c r="Q510" i="5"/>
  <c r="CP356" i="1"/>
  <c r="O356" i="1" s="1"/>
  <c r="AI259" i="1"/>
  <c r="V271" i="1"/>
  <c r="GM31" i="1"/>
  <c r="U271" i="1"/>
  <c r="AJ108" i="1"/>
  <c r="W119" i="1"/>
  <c r="AJ345" i="1"/>
  <c r="W358" i="1"/>
  <c r="GP348" i="1"/>
  <c r="GM348" i="1"/>
  <c r="BA271" i="1"/>
  <c r="CJ259" i="1"/>
  <c r="U358" i="1"/>
  <c r="Q37" i="1"/>
  <c r="CZ197" i="1"/>
  <c r="Y197" i="1" s="1"/>
  <c r="T261" i="5" s="1"/>
  <c r="J267" i="5" s="1"/>
  <c r="CY197" i="1"/>
  <c r="X197" i="1" s="1"/>
  <c r="R261" i="5" s="1"/>
  <c r="J266" i="5" s="1"/>
  <c r="CC26" i="1"/>
  <c r="AT37" i="1"/>
  <c r="BZ108" i="1"/>
  <c r="AQ119" i="1"/>
  <c r="GM194" i="1"/>
  <c r="BY259" i="1"/>
  <c r="CI271" i="1"/>
  <c r="AP271" i="1"/>
  <c r="CZ71" i="1"/>
  <c r="Y71" i="1" s="1"/>
  <c r="T97" i="5" s="1"/>
  <c r="CY71" i="1"/>
  <c r="X71" i="1" s="1"/>
  <c r="R97" i="5" s="1"/>
  <c r="AO345" i="1"/>
  <c r="F362" i="1"/>
  <c r="CG154" i="1"/>
  <c r="AX160" i="1"/>
  <c r="Q154" i="1"/>
  <c r="F172" i="1"/>
  <c r="CG191" i="1"/>
  <c r="AX199" i="1"/>
  <c r="AB160" i="1"/>
  <c r="AI26" i="1"/>
  <c r="V37" i="1"/>
  <c r="F47" i="1"/>
  <c r="AQ26" i="1"/>
  <c r="S160" i="1"/>
  <c r="AF154" i="1"/>
  <c r="AS77" i="1"/>
  <c r="CB68" i="1"/>
  <c r="AJ26" i="1"/>
  <c r="W37" i="1"/>
  <c r="AS108" i="1"/>
  <c r="F136" i="1"/>
  <c r="GP158" i="1"/>
  <c r="GM158" i="1"/>
  <c r="P197" i="1"/>
  <c r="J265" i="5" s="1"/>
  <c r="BB302" i="1"/>
  <c r="F327" i="1"/>
  <c r="CG345" i="1"/>
  <c r="AX358" i="1"/>
  <c r="AO154" i="1"/>
  <c r="F164" i="1"/>
  <c r="AO228" i="1"/>
  <c r="F209" i="1"/>
  <c r="AQ191" i="1"/>
  <c r="S37" i="1"/>
  <c r="T310" i="1"/>
  <c r="CC302" i="1"/>
  <c r="AT314" i="1"/>
  <c r="CI119" i="1"/>
  <c r="F374" i="1"/>
  <c r="BC345" i="1"/>
  <c r="AC358" i="1"/>
  <c r="CP347" i="1"/>
  <c r="O347" i="1" s="1"/>
  <c r="AS302" i="1"/>
  <c r="F331" i="1"/>
  <c r="BY26" i="1"/>
  <c r="AP37" i="1"/>
  <c r="CI37" i="1"/>
  <c r="GX71" i="1"/>
  <c r="S114" i="1"/>
  <c r="W160" i="1"/>
  <c r="AJ154" i="1"/>
  <c r="F169" i="1"/>
  <c r="AP154" i="1"/>
  <c r="AP228" i="1"/>
  <c r="CC108" i="1"/>
  <c r="AT119" i="1"/>
  <c r="AO108" i="1"/>
  <c r="F123" i="1"/>
  <c r="Q71" i="1"/>
  <c r="J99" i="5" s="1"/>
  <c r="I101" i="5" s="1"/>
  <c r="P101" i="5" s="1"/>
  <c r="GM110" i="1"/>
  <c r="AT154" i="1"/>
  <c r="F178" i="1"/>
  <c r="AT228" i="1"/>
  <c r="F173" i="1"/>
  <c r="BB154" i="1"/>
  <c r="BB228" i="1"/>
  <c r="BB387" i="1" s="1"/>
  <c r="AL160" i="1"/>
  <c r="R197" i="1"/>
  <c r="J264" i="5" s="1"/>
  <c r="CG302" i="1"/>
  <c r="AX314" i="1"/>
  <c r="AD358" i="1"/>
  <c r="V154" i="1"/>
  <c r="F183" i="1"/>
  <c r="CX125" i="3"/>
  <c r="W263" i="1"/>
  <c r="AJ271" i="1" s="1"/>
  <c r="GP113" i="1"/>
  <c r="GM157" i="1"/>
  <c r="GP157" i="1"/>
  <c r="CY354" i="1"/>
  <c r="X354" i="1" s="1"/>
  <c r="CZ354" i="1"/>
  <c r="Y354" i="1" s="1"/>
  <c r="AP191" i="1"/>
  <c r="F208" i="1"/>
  <c r="W197" i="1"/>
  <c r="AJ199" i="1" s="1"/>
  <c r="AT345" i="1"/>
  <c r="F376" i="1"/>
  <c r="S263" i="1"/>
  <c r="CP263" i="1" s="1"/>
  <c r="O263" i="1" s="1"/>
  <c r="F323" i="1"/>
  <c r="AP302" i="1"/>
  <c r="AQ345" i="1"/>
  <c r="CB26" i="1"/>
  <c r="AS37" i="1"/>
  <c r="CG26" i="1"/>
  <c r="AX37" i="1"/>
  <c r="GK29" i="1"/>
  <c r="GM29" i="1" s="1"/>
  <c r="BZ68" i="1"/>
  <c r="AQ77" i="1"/>
  <c r="BB108" i="1"/>
  <c r="F132" i="1"/>
  <c r="CX119" i="3"/>
  <c r="CX118" i="3"/>
  <c r="CX120" i="3"/>
  <c r="CX116" i="3"/>
  <c r="CX117" i="3"/>
  <c r="U197" i="1"/>
  <c r="T197" i="1"/>
  <c r="AG199" i="1" s="1"/>
  <c r="CC68" i="1"/>
  <c r="AT77" i="1"/>
  <c r="AG154" i="1"/>
  <c r="T160" i="1"/>
  <c r="CX194" i="3"/>
  <c r="CX198" i="3"/>
  <c r="CX195" i="3"/>
  <c r="CX200" i="3"/>
  <c r="CX193" i="3"/>
  <c r="CX199" i="3"/>
  <c r="CX192" i="3"/>
  <c r="CX196" i="3"/>
  <c r="CX197" i="3"/>
  <c r="CX201" i="3"/>
  <c r="S310" i="1"/>
  <c r="J416" i="5" s="1"/>
  <c r="I311" i="1"/>
  <c r="Q310" i="1"/>
  <c r="J417" i="5" s="1"/>
  <c r="U310" i="1"/>
  <c r="K423" i="5" s="1"/>
  <c r="W310" i="1"/>
  <c r="CP262" i="1"/>
  <c r="O262" i="1" s="1"/>
  <c r="AC271" i="1"/>
  <c r="AB37" i="1"/>
  <c r="BY345" i="1"/>
  <c r="CI358" i="1"/>
  <c r="AP358" i="1"/>
  <c r="GM30" i="1"/>
  <c r="GP30" i="1"/>
  <c r="F281" i="1"/>
  <c r="AQ259" i="1"/>
  <c r="GP306" i="1"/>
  <c r="GM306" i="1"/>
  <c r="U37" i="1"/>
  <c r="AH26" i="1"/>
  <c r="BC154" i="1"/>
  <c r="BC228" i="1"/>
  <c r="F176" i="1"/>
  <c r="AZ160" i="1"/>
  <c r="CI154" i="1"/>
  <c r="CG119" i="1"/>
  <c r="AS271" i="1"/>
  <c r="CB259" i="1"/>
  <c r="R310" i="1"/>
  <c r="BB191" i="1"/>
  <c r="F212" i="1"/>
  <c r="CI77" i="1"/>
  <c r="AD271" i="1"/>
  <c r="GX310" i="1"/>
  <c r="GP305" i="1"/>
  <c r="Q197" i="1"/>
  <c r="GP32" i="1"/>
  <c r="AG26" i="1"/>
  <c r="T37" i="1"/>
  <c r="CX37" i="3"/>
  <c r="I72" i="1"/>
  <c r="W71" i="1"/>
  <c r="T71" i="1"/>
  <c r="CX71" i="3"/>
  <c r="CX70" i="3"/>
  <c r="T114" i="1"/>
  <c r="AG119" i="1" s="1"/>
  <c r="V114" i="1"/>
  <c r="AI119" i="1" s="1"/>
  <c r="AQ228" i="1"/>
  <c r="GX197" i="1"/>
  <c r="CJ199" i="1" s="1"/>
  <c r="GM35" i="1"/>
  <c r="GP35" i="1"/>
  <c r="CY193" i="1"/>
  <c r="X193" i="1" s="1"/>
  <c r="CZ193" i="1"/>
  <c r="Y193" i="1" s="1"/>
  <c r="CG259" i="1"/>
  <c r="AX271" i="1"/>
  <c r="CG77" i="1"/>
  <c r="AP108" i="1"/>
  <c r="F128" i="1"/>
  <c r="CY262" i="1"/>
  <c r="X262" i="1" s="1"/>
  <c r="R289" i="5" s="1"/>
  <c r="CZ262" i="1"/>
  <c r="Y262" i="1" s="1"/>
  <c r="T289" i="5" s="1"/>
  <c r="AF271" i="1"/>
  <c r="CY268" i="1"/>
  <c r="X268" i="1" s="1"/>
  <c r="CZ268" i="1"/>
  <c r="Y268" i="1" s="1"/>
  <c r="T340" i="5" s="1"/>
  <c r="J346" i="5" s="1"/>
  <c r="BB26" i="1"/>
  <c r="F50" i="1"/>
  <c r="V71" i="1"/>
  <c r="AP68" i="1"/>
  <c r="F86" i="1"/>
  <c r="V197" i="1"/>
  <c r="CC259" i="1"/>
  <c r="AT271" i="1"/>
  <c r="CY264" i="1"/>
  <c r="X264" i="1" s="1"/>
  <c r="CZ264" i="1"/>
  <c r="Y264" i="1" s="1"/>
  <c r="CP193" i="1"/>
  <c r="O193" i="1" s="1"/>
  <c r="AC37" i="1"/>
  <c r="AH154" i="1"/>
  <c r="U160" i="1"/>
  <c r="BC191" i="1"/>
  <c r="F215" i="1"/>
  <c r="F287" i="1"/>
  <c r="BC259" i="1"/>
  <c r="AK37" i="1"/>
  <c r="P114" i="1"/>
  <c r="AC119" i="1" s="1"/>
  <c r="AZ199" i="1"/>
  <c r="CI191" i="1"/>
  <c r="AC160" i="1"/>
  <c r="P310" i="1"/>
  <c r="J419" i="5" s="1"/>
  <c r="GP355" i="1"/>
  <c r="CP354" i="1"/>
  <c r="O354" i="1" s="1"/>
  <c r="AS345" i="1"/>
  <c r="F375" i="1"/>
  <c r="I537" i="5" l="1"/>
  <c r="K537" i="5" s="1"/>
  <c r="AF345" i="1"/>
  <c r="S358" i="1"/>
  <c r="F373" i="1" s="1"/>
  <c r="GM355" i="1"/>
  <c r="AI199" i="1"/>
  <c r="V199" i="1" s="1"/>
  <c r="AQ154" i="1"/>
  <c r="GM32" i="1"/>
  <c r="GM305" i="1"/>
  <c r="GM113" i="1"/>
  <c r="AG345" i="1"/>
  <c r="CJ119" i="1"/>
  <c r="BA119" i="1" s="1"/>
  <c r="I71" i="5"/>
  <c r="H59" i="7"/>
  <c r="I339" i="5"/>
  <c r="AD119" i="1"/>
  <c r="CI302" i="1"/>
  <c r="AZ314" i="1"/>
  <c r="F20" i="7"/>
  <c r="GM34" i="1"/>
  <c r="F57" i="7"/>
  <c r="I61" i="5"/>
  <c r="P61" i="5" s="1"/>
  <c r="I37" i="5"/>
  <c r="I116" i="5"/>
  <c r="P116" i="5" s="1"/>
  <c r="I414" i="5"/>
  <c r="K414" i="5" s="1"/>
  <c r="I478" i="5"/>
  <c r="K478" i="5" s="1"/>
  <c r="I459" i="5"/>
  <c r="I499" i="5"/>
  <c r="K499" i="5" s="1"/>
  <c r="I444" i="5"/>
  <c r="P444" i="5" s="1"/>
  <c r="I162" i="5"/>
  <c r="K162" i="5" s="1"/>
  <c r="K101" i="5"/>
  <c r="I126" i="5"/>
  <c r="P126" i="5" s="1"/>
  <c r="I318" i="5"/>
  <c r="P318" i="5" s="1"/>
  <c r="I288" i="5"/>
  <c r="P288" i="5" s="1"/>
  <c r="P374" i="5"/>
  <c r="K374" i="5"/>
  <c r="P459" i="5"/>
  <c r="K459" i="5"/>
  <c r="CJ345" i="1"/>
  <c r="BA358" i="1"/>
  <c r="BA345" i="1" s="1"/>
  <c r="CJ108" i="1"/>
  <c r="P339" i="5"/>
  <c r="K339" i="5"/>
  <c r="P537" i="5"/>
  <c r="P414" i="5"/>
  <c r="P359" i="5"/>
  <c r="K359" i="5"/>
  <c r="P37" i="5"/>
  <c r="K37" i="5"/>
  <c r="P96" i="5"/>
  <c r="K96" i="5"/>
  <c r="GM264" i="1"/>
  <c r="R298" i="5"/>
  <c r="J304" i="5" s="1"/>
  <c r="N78" i="8"/>
  <c r="L78" i="8"/>
  <c r="F99" i="7" s="1"/>
  <c r="GK312" i="1"/>
  <c r="J438" i="5"/>
  <c r="J454" i="5"/>
  <c r="GK347" i="1"/>
  <c r="GM347" i="1" s="1"/>
  <c r="AE358" i="1"/>
  <c r="R215" i="5"/>
  <c r="J220" i="5" s="1"/>
  <c r="I224" i="5" s="1"/>
  <c r="AK160" i="1"/>
  <c r="N22" i="8"/>
  <c r="L22" i="8"/>
  <c r="F27" i="7" s="1"/>
  <c r="P329" i="5"/>
  <c r="K329" i="5"/>
  <c r="P186" i="5"/>
  <c r="K186" i="5"/>
  <c r="P509" i="5"/>
  <c r="K509" i="5"/>
  <c r="K463" i="5"/>
  <c r="P463" i="5"/>
  <c r="T238" i="5"/>
  <c r="J244" i="5" s="1"/>
  <c r="D32" i="6"/>
  <c r="E102" i="5"/>
  <c r="U102" i="5"/>
  <c r="S102" i="5"/>
  <c r="Q102" i="5"/>
  <c r="AD199" i="1"/>
  <c r="J263" i="5"/>
  <c r="I270" i="5" s="1"/>
  <c r="GK310" i="1"/>
  <c r="J418" i="5"/>
  <c r="GM307" i="1"/>
  <c r="T510" i="5"/>
  <c r="J516" i="5" s="1"/>
  <c r="GP110" i="1"/>
  <c r="GP34" i="1"/>
  <c r="GK309" i="1"/>
  <c r="J408" i="5"/>
  <c r="H58" i="7"/>
  <c r="I152" i="5"/>
  <c r="V102" i="5"/>
  <c r="N79" i="8"/>
  <c r="H98" i="7" s="1"/>
  <c r="L79" i="8"/>
  <c r="J397" i="5"/>
  <c r="GK308" i="1"/>
  <c r="L55" i="8"/>
  <c r="F74" i="7" s="1"/>
  <c r="N55" i="8"/>
  <c r="L61" i="8"/>
  <c r="F76" i="7" s="1"/>
  <c r="D76" i="7"/>
  <c r="N61" i="8"/>
  <c r="AE119" i="1"/>
  <c r="J174" i="5"/>
  <c r="I393" i="5"/>
  <c r="E36" i="7"/>
  <c r="J482" i="5"/>
  <c r="GK351" i="1"/>
  <c r="N70" i="8"/>
  <c r="L70" i="8"/>
  <c r="GK267" i="1"/>
  <c r="J333" i="5"/>
  <c r="D26" i="7"/>
  <c r="N23" i="8"/>
  <c r="H26" i="7" s="1"/>
  <c r="L23" i="8"/>
  <c r="F26" i="7" s="1"/>
  <c r="D74" i="7"/>
  <c r="J369" i="5"/>
  <c r="GK304" i="1"/>
  <c r="J480" i="5"/>
  <c r="CP351" i="1"/>
  <c r="O351" i="1" s="1"/>
  <c r="CZ351" i="1"/>
  <c r="Y351" i="1" s="1"/>
  <c r="T479" i="5" s="1"/>
  <c r="J485" i="5" s="1"/>
  <c r="CY351" i="1"/>
  <c r="X351" i="1" s="1"/>
  <c r="R479" i="5" s="1"/>
  <c r="J484" i="5" s="1"/>
  <c r="J91" i="5"/>
  <c r="GK70" i="1"/>
  <c r="H27" i="7"/>
  <c r="GK111" i="1"/>
  <c r="J157" i="5"/>
  <c r="GK28" i="1"/>
  <c r="GP28" i="1" s="1"/>
  <c r="J22" i="5"/>
  <c r="P478" i="5"/>
  <c r="L60" i="8"/>
  <c r="N60" i="8"/>
  <c r="L34" i="8"/>
  <c r="F41" i="7" s="1"/>
  <c r="N34" i="8"/>
  <c r="AH119" i="1"/>
  <c r="J110" i="5"/>
  <c r="GK73" i="1"/>
  <c r="K61" i="5"/>
  <c r="J283" i="5"/>
  <c r="GK261" i="1"/>
  <c r="GM261" i="1" s="1"/>
  <c r="P71" i="5"/>
  <c r="K71" i="5"/>
  <c r="T18" i="5"/>
  <c r="J24" i="5" s="1"/>
  <c r="I27" i="5" s="1"/>
  <c r="AL37" i="1"/>
  <c r="AK358" i="1"/>
  <c r="R510" i="5"/>
  <c r="J515" i="5" s="1"/>
  <c r="AI345" i="1"/>
  <c r="T271" i="1"/>
  <c r="F292" i="1" s="1"/>
  <c r="J395" i="5"/>
  <c r="CY308" i="1"/>
  <c r="X308" i="1" s="1"/>
  <c r="CZ308" i="1"/>
  <c r="Y308" i="1" s="1"/>
  <c r="T394" i="5" s="1"/>
  <c r="J400" i="5" s="1"/>
  <c r="F98" i="7"/>
  <c r="N80" i="8"/>
  <c r="L80" i="8"/>
  <c r="F97" i="7" s="1"/>
  <c r="R464" i="5"/>
  <c r="GP349" i="1"/>
  <c r="L56" i="8"/>
  <c r="F73" i="7" s="1"/>
  <c r="D73" i="7"/>
  <c r="N56" i="8"/>
  <c r="L58" i="8"/>
  <c r="N58" i="8"/>
  <c r="L62" i="8"/>
  <c r="F75" i="7" s="1"/>
  <c r="D75" i="7"/>
  <c r="N62" i="8"/>
  <c r="L36" i="8"/>
  <c r="F39" i="7" s="1"/>
  <c r="N36" i="8"/>
  <c r="H39" i="7" s="1"/>
  <c r="GK116" i="1"/>
  <c r="J190" i="5"/>
  <c r="N71" i="8"/>
  <c r="H93" i="7" s="1"/>
  <c r="L71" i="8"/>
  <c r="F93" i="7" s="1"/>
  <c r="D93" i="7"/>
  <c r="GK352" i="1"/>
  <c r="GM352" i="1" s="1"/>
  <c r="J493" i="5"/>
  <c r="AS191" i="1"/>
  <c r="F216" i="1"/>
  <c r="AS228" i="1"/>
  <c r="F13" i="7"/>
  <c r="E15" i="7" s="1"/>
  <c r="P526" i="5"/>
  <c r="K526" i="5"/>
  <c r="J398" i="5"/>
  <c r="CP308" i="1"/>
  <c r="O308" i="1" s="1"/>
  <c r="GP195" i="1"/>
  <c r="GM195" i="1"/>
  <c r="GK193" i="1"/>
  <c r="GP193" i="1" s="1"/>
  <c r="J242" i="5"/>
  <c r="D27" i="7"/>
  <c r="GK74" i="1"/>
  <c r="GM74" i="1" s="1"/>
  <c r="J120" i="5"/>
  <c r="J218" i="5"/>
  <c r="AE160" i="1"/>
  <c r="GK156" i="1"/>
  <c r="GP156" i="1" s="1"/>
  <c r="CD160" i="1" s="1"/>
  <c r="P207" i="5"/>
  <c r="K207" i="5"/>
  <c r="H57" i="7"/>
  <c r="G62" i="7" s="1"/>
  <c r="D97" i="7"/>
  <c r="K167" i="5"/>
  <c r="P167" i="5"/>
  <c r="AE271" i="1"/>
  <c r="J292" i="5"/>
  <c r="GK350" i="1"/>
  <c r="J472" i="5"/>
  <c r="E65" i="7"/>
  <c r="E62" i="7"/>
  <c r="D99" i="7"/>
  <c r="CY196" i="1"/>
  <c r="X196" i="1" s="1"/>
  <c r="CZ196" i="1"/>
  <c r="Y196" i="1" s="1"/>
  <c r="T257" i="5" s="1"/>
  <c r="AK199" i="1"/>
  <c r="X199" i="1" s="1"/>
  <c r="R238" i="5"/>
  <c r="J243" i="5" s="1"/>
  <c r="AH199" i="1"/>
  <c r="AH191" i="1" s="1"/>
  <c r="K269" i="5"/>
  <c r="GM75" i="1"/>
  <c r="GP264" i="1"/>
  <c r="T298" i="5"/>
  <c r="J305" i="5" s="1"/>
  <c r="R340" i="5"/>
  <c r="J345" i="5" s="1"/>
  <c r="I349" i="5" s="1"/>
  <c r="CP71" i="1"/>
  <c r="O71" i="1" s="1"/>
  <c r="GP71" i="1" s="1"/>
  <c r="GP29" i="1"/>
  <c r="GM28" i="1"/>
  <c r="I65" i="8"/>
  <c r="D77" i="7" s="1"/>
  <c r="I64" i="8"/>
  <c r="D78" i="7" s="1"/>
  <c r="F78" i="7" s="1"/>
  <c r="I63" i="8"/>
  <c r="D79" i="7" s="1"/>
  <c r="D74" i="6"/>
  <c r="E425" i="5"/>
  <c r="U425" i="5"/>
  <c r="V425" i="5"/>
  <c r="J432" i="5" s="1"/>
  <c r="Q425" i="5"/>
  <c r="S425" i="5"/>
  <c r="GP75" i="1"/>
  <c r="GK269" i="1"/>
  <c r="J353" i="5"/>
  <c r="J312" i="5"/>
  <c r="GK265" i="1"/>
  <c r="H41" i="7"/>
  <c r="G15" i="7"/>
  <c r="D98" i="7"/>
  <c r="L59" i="8"/>
  <c r="N59" i="8"/>
  <c r="L35" i="8"/>
  <c r="F40" i="7" s="1"/>
  <c r="N35" i="8"/>
  <c r="H40" i="7" s="1"/>
  <c r="G36" i="7"/>
  <c r="H20" i="7"/>
  <c r="G22" i="7" s="1"/>
  <c r="CZ116" i="1"/>
  <c r="Y116" i="1" s="1"/>
  <c r="T187" i="5" s="1"/>
  <c r="J193" i="5" s="1"/>
  <c r="J188" i="5"/>
  <c r="CY116" i="1"/>
  <c r="X116" i="1" s="1"/>
  <c r="R187" i="5" s="1"/>
  <c r="J192" i="5" s="1"/>
  <c r="GK266" i="1"/>
  <c r="J323" i="5"/>
  <c r="GP74" i="1"/>
  <c r="H99" i="7"/>
  <c r="K260" i="5"/>
  <c r="GK353" i="1"/>
  <c r="J503" i="5"/>
  <c r="D39" i="7"/>
  <c r="GK356" i="1"/>
  <c r="GM356" i="1" s="1"/>
  <c r="J531" i="5"/>
  <c r="AQ302" i="1"/>
  <c r="F324" i="1"/>
  <c r="I137" i="5"/>
  <c r="E22" i="7"/>
  <c r="J55" i="5"/>
  <c r="GK33" i="1"/>
  <c r="GP33" i="1" s="1"/>
  <c r="GK354" i="1"/>
  <c r="GM354" i="1" s="1"/>
  <c r="J513" i="5"/>
  <c r="GK268" i="1"/>
  <c r="GP268" i="1" s="1"/>
  <c r="J343" i="5"/>
  <c r="GK117" i="1"/>
  <c r="J201" i="5"/>
  <c r="P46" i="5"/>
  <c r="K46" i="5"/>
  <c r="F92" i="7"/>
  <c r="H97" i="7"/>
  <c r="J165" i="5"/>
  <c r="GK112" i="1"/>
  <c r="GM349" i="1"/>
  <c r="AC108" i="1"/>
  <c r="CH119" i="1"/>
  <c r="CE119" i="1"/>
  <c r="CF119" i="1"/>
  <c r="P119" i="1"/>
  <c r="W271" i="1"/>
  <c r="AJ259" i="1"/>
  <c r="AG108" i="1"/>
  <c r="T119" i="1"/>
  <c r="X358" i="1"/>
  <c r="AK345" i="1"/>
  <c r="AZ191" i="1"/>
  <c r="F210" i="1"/>
  <c r="AK26" i="1"/>
  <c r="X37" i="1"/>
  <c r="F278" i="1"/>
  <c r="AX259" i="1"/>
  <c r="AC259" i="1"/>
  <c r="P271" i="1"/>
  <c r="CF271" i="1"/>
  <c r="CH271" i="1"/>
  <c r="CE271" i="1"/>
  <c r="CZ114" i="1"/>
  <c r="Y114" i="1" s="1"/>
  <c r="CY114" i="1"/>
  <c r="X114" i="1" s="1"/>
  <c r="AF119" i="1"/>
  <c r="AZ37" i="1"/>
  <c r="CI26" i="1"/>
  <c r="S154" i="1"/>
  <c r="F175" i="1"/>
  <c r="AT26" i="1"/>
  <c r="F55" i="1"/>
  <c r="AT387" i="1"/>
  <c r="T259" i="1"/>
  <c r="Q26" i="1"/>
  <c r="F49" i="1"/>
  <c r="U259" i="1"/>
  <c r="F293" i="1"/>
  <c r="AC154" i="1"/>
  <c r="CH160" i="1"/>
  <c r="CE160" i="1"/>
  <c r="P160" i="1"/>
  <c r="CF160" i="1"/>
  <c r="AI191" i="1"/>
  <c r="BB22" i="1"/>
  <c r="F404" i="1"/>
  <c r="BB420" i="1"/>
  <c r="F238" i="1"/>
  <c r="AQ150" i="1"/>
  <c r="AD191" i="1"/>
  <c r="Q199" i="1"/>
  <c r="F87" i="1"/>
  <c r="AQ68" i="1"/>
  <c r="AX26" i="1"/>
  <c r="F44" i="1"/>
  <c r="GK197" i="1"/>
  <c r="AE199" i="1"/>
  <c r="AT108" i="1"/>
  <c r="F137" i="1"/>
  <c r="AP26" i="1"/>
  <c r="F46" i="1"/>
  <c r="AP387" i="1"/>
  <c r="S345" i="1"/>
  <c r="AB358" i="1"/>
  <c r="F381" i="1"/>
  <c r="V345" i="1"/>
  <c r="CP197" i="1"/>
  <c r="O197" i="1" s="1"/>
  <c r="AC199" i="1"/>
  <c r="AZ271" i="1"/>
  <c r="CI259" i="1"/>
  <c r="AJ191" i="1"/>
  <c r="W199" i="1"/>
  <c r="BA259" i="1"/>
  <c r="F291" i="1"/>
  <c r="F143" i="1"/>
  <c r="W108" i="1"/>
  <c r="CP310" i="1"/>
  <c r="O310" i="1" s="1"/>
  <c r="U154" i="1"/>
  <c r="F182" i="1"/>
  <c r="AF259" i="1"/>
  <c r="S271" i="1"/>
  <c r="S199" i="1"/>
  <c r="AF191" i="1"/>
  <c r="AS259" i="1"/>
  <c r="F288" i="1"/>
  <c r="CG108" i="1"/>
  <c r="AX119" i="1"/>
  <c r="U26" i="1"/>
  <c r="F59" i="1"/>
  <c r="AB26" i="1"/>
  <c r="O37" i="1"/>
  <c r="CX202" i="3"/>
  <c r="CX206" i="3"/>
  <c r="CX205" i="3"/>
  <c r="CX204" i="3"/>
  <c r="CX203" i="3"/>
  <c r="CX207" i="3"/>
  <c r="R311" i="1"/>
  <c r="Q311" i="1"/>
  <c r="GX311" i="1"/>
  <c r="CJ314" i="1" s="1"/>
  <c r="U311" i="1"/>
  <c r="V311" i="1"/>
  <c r="AI314" i="1" s="1"/>
  <c r="S311" i="1"/>
  <c r="J426" i="5" s="1"/>
  <c r="T311" i="1"/>
  <c r="P311" i="1"/>
  <c r="J429" i="5" s="1"/>
  <c r="W311" i="1"/>
  <c r="F181" i="1"/>
  <c r="T154" i="1"/>
  <c r="AT68" i="1"/>
  <c r="F95" i="1"/>
  <c r="Q358" i="1"/>
  <c r="AD345" i="1"/>
  <c r="AL154" i="1"/>
  <c r="Y160" i="1"/>
  <c r="F246" i="1"/>
  <c r="AT150" i="1"/>
  <c r="P358" i="1"/>
  <c r="CF358" i="1"/>
  <c r="AC345" i="1"/>
  <c r="CE358" i="1"/>
  <c r="CH358" i="1"/>
  <c r="CI108" i="1"/>
  <c r="AZ119" i="1"/>
  <c r="AO150" i="1"/>
  <c r="F232" i="1"/>
  <c r="AO387" i="1"/>
  <c r="F365" i="1"/>
  <c r="AX345" i="1"/>
  <c r="AS68" i="1"/>
  <c r="F94" i="1"/>
  <c r="V26" i="1"/>
  <c r="F60" i="1"/>
  <c r="O160" i="1"/>
  <c r="AB154" i="1"/>
  <c r="GM268" i="1"/>
  <c r="AQ108" i="1"/>
  <c r="F129" i="1"/>
  <c r="F294" i="1"/>
  <c r="V259" i="1"/>
  <c r="P37" i="1"/>
  <c r="CF37" i="1"/>
  <c r="AC26" i="1"/>
  <c r="CE37" i="1"/>
  <c r="CH37" i="1"/>
  <c r="AK191" i="1"/>
  <c r="AD259" i="1"/>
  <c r="Q271" i="1"/>
  <c r="AP345" i="1"/>
  <c r="F367" i="1"/>
  <c r="AG191" i="1"/>
  <c r="T199" i="1"/>
  <c r="T228" i="1" s="1"/>
  <c r="S26" i="1"/>
  <c r="F52" i="1"/>
  <c r="AX154" i="1"/>
  <c r="F167" i="1"/>
  <c r="AX228" i="1"/>
  <c r="AP259" i="1"/>
  <c r="F280" i="1"/>
  <c r="F378" i="1"/>
  <c r="CP114" i="1"/>
  <c r="O114" i="1" s="1"/>
  <c r="GM193" i="1"/>
  <c r="T26" i="1"/>
  <c r="F58" i="1"/>
  <c r="CI68" i="1"/>
  <c r="AZ77" i="1"/>
  <c r="F171" i="1"/>
  <c r="AZ228" i="1"/>
  <c r="AZ154" i="1"/>
  <c r="AZ358" i="1"/>
  <c r="CI345" i="1"/>
  <c r="GP262" i="1"/>
  <c r="GM262" i="1"/>
  <c r="U199" i="1"/>
  <c r="GP354" i="1"/>
  <c r="AT259" i="1"/>
  <c r="F289" i="1"/>
  <c r="AX77" i="1"/>
  <c r="AX387" i="1" s="1"/>
  <c r="CG68" i="1"/>
  <c r="CJ191" i="1"/>
  <c r="BA199" i="1"/>
  <c r="V119" i="1"/>
  <c r="AI108" i="1"/>
  <c r="CX38" i="3"/>
  <c r="U72" i="1"/>
  <c r="AH77" i="1" s="1"/>
  <c r="GX72" i="1"/>
  <c r="CJ77" i="1" s="1"/>
  <c r="R72" i="1"/>
  <c r="W72" i="1"/>
  <c r="AJ77" i="1" s="1"/>
  <c r="P72" i="1"/>
  <c r="Q72" i="1"/>
  <c r="S72" i="1"/>
  <c r="T72" i="1"/>
  <c r="AG77" i="1" s="1"/>
  <c r="V72" i="1"/>
  <c r="AI77" i="1" s="1"/>
  <c r="BC150" i="1"/>
  <c r="F244" i="1"/>
  <c r="BC387" i="1"/>
  <c r="AJ314" i="1"/>
  <c r="CY310" i="1"/>
  <c r="X310" i="1" s="1"/>
  <c r="R415" i="5" s="1"/>
  <c r="J420" i="5" s="1"/>
  <c r="CZ310" i="1"/>
  <c r="Y310" i="1" s="1"/>
  <c r="T415" i="5" s="1"/>
  <c r="J421" i="5" s="1"/>
  <c r="AE26" i="1"/>
  <c r="R37" i="1"/>
  <c r="AS26" i="1"/>
  <c r="F54" i="1"/>
  <c r="AS387" i="1"/>
  <c r="CZ263" i="1"/>
  <c r="Y263" i="1" s="1"/>
  <c r="T294" i="5" s="1"/>
  <c r="CY263" i="1"/>
  <c r="X263" i="1" s="1"/>
  <c r="F321" i="1"/>
  <c r="AX302" i="1"/>
  <c r="F241" i="1"/>
  <c r="BB150" i="1"/>
  <c r="F237" i="1"/>
  <c r="AP150" i="1"/>
  <c r="W154" i="1"/>
  <c r="F184" i="1"/>
  <c r="W228" i="1"/>
  <c r="AT302" i="1"/>
  <c r="F332" i="1"/>
  <c r="AG314" i="1"/>
  <c r="W26" i="1"/>
  <c r="F61" i="1"/>
  <c r="AQ387" i="1"/>
  <c r="AX191" i="1"/>
  <c r="F206" i="1"/>
  <c r="T345" i="1"/>
  <c r="F379" i="1"/>
  <c r="U345" i="1"/>
  <c r="F380" i="1"/>
  <c r="AB271" i="1"/>
  <c r="F382" i="1"/>
  <c r="W345" i="1"/>
  <c r="AE314" i="1"/>
  <c r="P162" i="5" l="1"/>
  <c r="K288" i="5"/>
  <c r="F139" i="1"/>
  <c r="BA108" i="1"/>
  <c r="F325" i="1"/>
  <c r="AZ302" i="1"/>
  <c r="AD108" i="1"/>
  <c r="Q119" i="1"/>
  <c r="GP261" i="1"/>
  <c r="P499" i="5"/>
  <c r="E29" i="7"/>
  <c r="G45" i="7"/>
  <c r="GP352" i="1"/>
  <c r="GM33" i="1"/>
  <c r="CA37" i="1" s="1"/>
  <c r="CA26" i="1" s="1"/>
  <c r="GP196" i="1"/>
  <c r="CD37" i="1"/>
  <c r="AU37" i="1" s="1"/>
  <c r="G29" i="7"/>
  <c r="G65" i="7"/>
  <c r="G101" i="7"/>
  <c r="K116" i="5"/>
  <c r="K126" i="5"/>
  <c r="I308" i="5"/>
  <c r="K308" i="5" s="1"/>
  <c r="I519" i="5"/>
  <c r="K519" i="5" s="1"/>
  <c r="I247" i="5"/>
  <c r="P247" i="5" s="1"/>
  <c r="K444" i="5"/>
  <c r="K318" i="5"/>
  <c r="I424" i="5"/>
  <c r="P424" i="5" s="1"/>
  <c r="G111" i="7"/>
  <c r="E42" i="7"/>
  <c r="E45" i="7"/>
  <c r="AU160" i="1"/>
  <c r="CD154" i="1"/>
  <c r="AD314" i="1"/>
  <c r="J427" i="5"/>
  <c r="AK119" i="1"/>
  <c r="AK108" i="1" s="1"/>
  <c r="R172" i="5"/>
  <c r="GP112" i="1"/>
  <c r="GM112" i="1"/>
  <c r="P519" i="5"/>
  <c r="GP267" i="1"/>
  <c r="GM267" i="1"/>
  <c r="P308" i="5"/>
  <c r="GM116" i="1"/>
  <c r="AF314" i="1"/>
  <c r="AF302" i="1" s="1"/>
  <c r="GM71" i="1"/>
  <c r="AE77" i="1"/>
  <c r="R77" i="1" s="1"/>
  <c r="J104" i="5"/>
  <c r="GK311" i="1"/>
  <c r="J428" i="5"/>
  <c r="GP347" i="1"/>
  <c r="AL119" i="1"/>
  <c r="T172" i="5"/>
  <c r="I196" i="5"/>
  <c r="L65" i="8"/>
  <c r="N65" i="8"/>
  <c r="P349" i="5"/>
  <c r="K349" i="5"/>
  <c r="F245" i="1"/>
  <c r="AS150" i="1"/>
  <c r="AH108" i="1"/>
  <c r="U119" i="1"/>
  <c r="GP70" i="1"/>
  <c r="GM70" i="1"/>
  <c r="GP351" i="1"/>
  <c r="GM351" i="1"/>
  <c r="AE108" i="1"/>
  <c r="R119" i="1"/>
  <c r="P152" i="5"/>
  <c r="K152" i="5"/>
  <c r="GM156" i="1"/>
  <c r="CA160" i="1" s="1"/>
  <c r="AL358" i="1"/>
  <c r="AK154" i="1"/>
  <c r="X160" i="1"/>
  <c r="GP116" i="1"/>
  <c r="E104" i="7"/>
  <c r="E101" i="7"/>
  <c r="GP117" i="1"/>
  <c r="GM117" i="1"/>
  <c r="K247" i="5"/>
  <c r="GP350" i="1"/>
  <c r="GM350" i="1"/>
  <c r="GP308" i="1"/>
  <c r="R394" i="5"/>
  <c r="J399" i="5" s="1"/>
  <c r="I403" i="5" s="1"/>
  <c r="G104" i="7"/>
  <c r="AK271" i="1"/>
  <c r="AK259" i="1" s="1"/>
  <c r="R294" i="5"/>
  <c r="P224" i="5"/>
  <c r="K224" i="5"/>
  <c r="GM269" i="1"/>
  <c r="GP269" i="1"/>
  <c r="GM308" i="1"/>
  <c r="Y37" i="1"/>
  <c r="AL26" i="1"/>
  <c r="G42" i="7"/>
  <c r="F77" i="7"/>
  <c r="GP111" i="1"/>
  <c r="GM111" i="1"/>
  <c r="I488" i="5"/>
  <c r="P270" i="5"/>
  <c r="K270" i="5"/>
  <c r="AL199" i="1"/>
  <c r="P137" i="5"/>
  <c r="K137" i="5"/>
  <c r="L64" i="8"/>
  <c r="N64" i="8"/>
  <c r="GM309" i="1"/>
  <c r="GP309" i="1"/>
  <c r="AD77" i="1"/>
  <c r="AD68" i="1" s="1"/>
  <c r="J103" i="5"/>
  <c r="I105" i="5" s="1"/>
  <c r="AH314" i="1"/>
  <c r="K433" i="5"/>
  <c r="AL271" i="1"/>
  <c r="AL259" i="1" s="1"/>
  <c r="P27" i="5"/>
  <c r="K27" i="5"/>
  <c r="GM353" i="1"/>
  <c r="GP353" i="1"/>
  <c r="GP266" i="1"/>
  <c r="GM266" i="1"/>
  <c r="GM265" i="1"/>
  <c r="GP265" i="1"/>
  <c r="L63" i="8"/>
  <c r="F79" i="7" s="1"/>
  <c r="N63" i="8"/>
  <c r="GM196" i="1"/>
  <c r="R257" i="5"/>
  <c r="R271" i="1"/>
  <c r="AE259" i="1"/>
  <c r="R160" i="1"/>
  <c r="AE154" i="1"/>
  <c r="GM73" i="1"/>
  <c r="GP73" i="1"/>
  <c r="GP304" i="1"/>
  <c r="GM304" i="1"/>
  <c r="GP356" i="1"/>
  <c r="P393" i="5"/>
  <c r="K393" i="5"/>
  <c r="AE345" i="1"/>
  <c r="R358" i="1"/>
  <c r="GM312" i="1"/>
  <c r="GP312" i="1"/>
  <c r="CJ302" i="1"/>
  <c r="BA314" i="1"/>
  <c r="AG68" i="1"/>
  <c r="T77" i="1"/>
  <c r="AJ68" i="1"/>
  <c r="W77" i="1"/>
  <c r="T150" i="1"/>
  <c r="F249" i="1"/>
  <c r="Q314" i="1"/>
  <c r="AD302" i="1"/>
  <c r="X271" i="1"/>
  <c r="CJ68" i="1"/>
  <c r="BA77" i="1"/>
  <c r="AH302" i="1"/>
  <c r="U314" i="1"/>
  <c r="AG302" i="1"/>
  <c r="T314" i="1"/>
  <c r="S314" i="1"/>
  <c r="AE68" i="1"/>
  <c r="U191" i="1"/>
  <c r="F221" i="1"/>
  <c r="AI68" i="1"/>
  <c r="V77" i="1"/>
  <c r="CF26" i="1"/>
  <c r="AW37" i="1"/>
  <c r="GM197" i="1"/>
  <c r="GP197" i="1"/>
  <c r="CD199" i="1" s="1"/>
  <c r="AP22" i="1"/>
  <c r="F400" i="1"/>
  <c r="G16" i="2" s="1"/>
  <c r="G18" i="2" s="1"/>
  <c r="AP420" i="1"/>
  <c r="AX22" i="1"/>
  <c r="F398" i="1"/>
  <c r="AX420" i="1"/>
  <c r="CE154" i="1"/>
  <c r="AV160" i="1"/>
  <c r="AW271" i="1"/>
  <c r="CF259" i="1"/>
  <c r="X345" i="1"/>
  <c r="F383" i="1"/>
  <c r="AW119" i="1"/>
  <c r="CF108" i="1"/>
  <c r="CH26" i="1"/>
  <c r="AY37" i="1"/>
  <c r="AO22" i="1"/>
  <c r="F395" i="1"/>
  <c r="AO420" i="1"/>
  <c r="Y154" i="1"/>
  <c r="F186" i="1"/>
  <c r="CY311" i="1"/>
  <c r="X311" i="1" s="1"/>
  <c r="CZ311" i="1"/>
  <c r="Y311" i="1" s="1"/>
  <c r="F214" i="1"/>
  <c r="S191" i="1"/>
  <c r="U228" i="1"/>
  <c r="AU154" i="1"/>
  <c r="F179" i="1"/>
  <c r="Q191" i="1"/>
  <c r="F211" i="1"/>
  <c r="Q228" i="1"/>
  <c r="BB18" i="1"/>
  <c r="F433" i="1"/>
  <c r="V191" i="1"/>
  <c r="F222" i="1"/>
  <c r="V228" i="1"/>
  <c r="CH154" i="1"/>
  <c r="AY160" i="1"/>
  <c r="F48" i="1"/>
  <c r="AZ26" i="1"/>
  <c r="AZ387" i="1"/>
  <c r="F274" i="1"/>
  <c r="P259" i="1"/>
  <c r="GM263" i="1"/>
  <c r="CA271" i="1" s="1"/>
  <c r="F140" i="1"/>
  <c r="T108" i="1"/>
  <c r="F295" i="1"/>
  <c r="W259" i="1"/>
  <c r="CE108" i="1"/>
  <c r="AV119" i="1"/>
  <c r="W150" i="1"/>
  <c r="F252" i="1"/>
  <c r="R26" i="1"/>
  <c r="F51" i="1"/>
  <c r="CP72" i="1"/>
  <c r="O72" i="1" s="1"/>
  <c r="AC77" i="1"/>
  <c r="AH68" i="1"/>
  <c r="U77" i="1"/>
  <c r="BA191" i="1"/>
  <c r="F219" i="1"/>
  <c r="BA228" i="1"/>
  <c r="GP114" i="1"/>
  <c r="CD119" i="1" s="1"/>
  <c r="GM114" i="1"/>
  <c r="AB119" i="1"/>
  <c r="X191" i="1"/>
  <c r="F224" i="1"/>
  <c r="AV37" i="1"/>
  <c r="CE26" i="1"/>
  <c r="AY358" i="1"/>
  <c r="CH345" i="1"/>
  <c r="P345" i="1"/>
  <c r="F361" i="1"/>
  <c r="AI302" i="1"/>
  <c r="V314" i="1"/>
  <c r="AX108" i="1"/>
  <c r="F126" i="1"/>
  <c r="F286" i="1"/>
  <c r="S259" i="1"/>
  <c r="F282" i="1"/>
  <c r="AZ259" i="1"/>
  <c r="R199" i="1"/>
  <c r="AE191" i="1"/>
  <c r="AW160" i="1"/>
  <c r="CF154" i="1"/>
  <c r="S228" i="1"/>
  <c r="AF108" i="1"/>
  <c r="S119" i="1"/>
  <c r="AV271" i="1"/>
  <c r="CE259" i="1"/>
  <c r="X26" i="1"/>
  <c r="F62" i="1"/>
  <c r="GP263" i="1"/>
  <c r="CD271" i="1" s="1"/>
  <c r="CH108" i="1"/>
  <c r="AY119" i="1"/>
  <c r="AE302" i="1"/>
  <c r="R314" i="1"/>
  <c r="AQ22" i="1"/>
  <c r="F401" i="1"/>
  <c r="AQ420" i="1"/>
  <c r="CD26" i="1"/>
  <c r="CY72" i="1"/>
  <c r="X72" i="1" s="1"/>
  <c r="CZ72" i="1"/>
  <c r="Y72" i="1" s="1"/>
  <c r="AF77" i="1"/>
  <c r="F220" i="1"/>
  <c r="T191" i="1"/>
  <c r="Q259" i="1"/>
  <c r="F283" i="1"/>
  <c r="F130" i="1"/>
  <c r="AZ108" i="1"/>
  <c r="Q345" i="1"/>
  <c r="F370" i="1"/>
  <c r="GP310" i="1"/>
  <c r="GM310" i="1"/>
  <c r="AB345" i="1"/>
  <c r="O358" i="1"/>
  <c r="AR37" i="1"/>
  <c r="AL108" i="1"/>
  <c r="Y119" i="1"/>
  <c r="O271" i="1"/>
  <c r="AB259" i="1"/>
  <c r="BC22" i="1"/>
  <c r="BC420" i="1"/>
  <c r="F407" i="1"/>
  <c r="V108" i="1"/>
  <c r="F142" i="1"/>
  <c r="AZ345" i="1"/>
  <c r="F369" i="1"/>
  <c r="AZ68" i="1"/>
  <c r="F88" i="1"/>
  <c r="F40" i="1"/>
  <c r="P26" i="1"/>
  <c r="F162" i="1"/>
  <c r="O154" i="1"/>
  <c r="CF345" i="1"/>
  <c r="AW358" i="1"/>
  <c r="O26" i="1"/>
  <c r="F39" i="1"/>
  <c r="AS22" i="1"/>
  <c r="F408" i="1"/>
  <c r="E16" i="2" s="1"/>
  <c r="AS420" i="1"/>
  <c r="AJ302" i="1"/>
  <c r="W314" i="1"/>
  <c r="AX68" i="1"/>
  <c r="F84" i="1"/>
  <c r="AZ150" i="1"/>
  <c r="F239" i="1"/>
  <c r="AB199" i="1"/>
  <c r="AX150" i="1"/>
  <c r="F235" i="1"/>
  <c r="AV358" i="1"/>
  <c r="CE345" i="1"/>
  <c r="CP311" i="1"/>
  <c r="O311" i="1" s="1"/>
  <c r="AC314" i="1"/>
  <c r="W191" i="1"/>
  <c r="F223" i="1"/>
  <c r="AC191" i="1"/>
  <c r="CE199" i="1"/>
  <c r="CF199" i="1"/>
  <c r="P199" i="1"/>
  <c r="P228" i="1" s="1"/>
  <c r="CH199" i="1"/>
  <c r="CD358" i="1"/>
  <c r="P154" i="1"/>
  <c r="F163" i="1"/>
  <c r="AT22" i="1"/>
  <c r="F409" i="1"/>
  <c r="F16" i="2" s="1"/>
  <c r="F18" i="2" s="1"/>
  <c r="AT420" i="1"/>
  <c r="X119" i="1"/>
  <c r="CH259" i="1"/>
  <c r="AY271" i="1"/>
  <c r="P108" i="1"/>
  <c r="F122" i="1"/>
  <c r="F131" i="1" l="1"/>
  <c r="Q108" i="1"/>
  <c r="CA119" i="1"/>
  <c r="CA199" i="1"/>
  <c r="AR199" i="1" s="1"/>
  <c r="E85" i="7"/>
  <c r="CA358" i="1"/>
  <c r="AR358" i="1" s="1"/>
  <c r="E82" i="7"/>
  <c r="I361" i="5"/>
  <c r="K424" i="5"/>
  <c r="CA345" i="1"/>
  <c r="AK314" i="1"/>
  <c r="AK302" i="1" s="1"/>
  <c r="R425" i="5"/>
  <c r="J430" i="5" s="1"/>
  <c r="Y358" i="1"/>
  <c r="AL345" i="1"/>
  <c r="R108" i="1"/>
  <c r="F133" i="1"/>
  <c r="P403" i="5"/>
  <c r="K403" i="5"/>
  <c r="P196" i="5"/>
  <c r="I209" i="5" s="1"/>
  <c r="K196" i="5"/>
  <c r="Y271" i="1"/>
  <c r="F297" i="1" s="1"/>
  <c r="Q77" i="1"/>
  <c r="R154" i="1"/>
  <c r="F174" i="1"/>
  <c r="AL191" i="1"/>
  <c r="Y199" i="1"/>
  <c r="I234" i="5"/>
  <c r="I275" i="5"/>
  <c r="AR160" i="1"/>
  <c r="CA154" i="1"/>
  <c r="P488" i="5"/>
  <c r="I539" i="5" s="1"/>
  <c r="K488" i="5"/>
  <c r="F63" i="1"/>
  <c r="Y26" i="1"/>
  <c r="I272" i="5"/>
  <c r="X154" i="1"/>
  <c r="F185" i="1"/>
  <c r="X228" i="1"/>
  <c r="F141" i="1"/>
  <c r="U108" i="1"/>
  <c r="AK77" i="1"/>
  <c r="X77" i="1" s="1"/>
  <c r="R102" i="5"/>
  <c r="AL77" i="1"/>
  <c r="AL68" i="1" s="1"/>
  <c r="T102" i="5"/>
  <c r="AL314" i="1"/>
  <c r="Y314" i="1" s="1"/>
  <c r="T425" i="5"/>
  <c r="J431" i="5" s="1"/>
  <c r="F372" i="1"/>
  <c r="R345" i="1"/>
  <c r="F285" i="1"/>
  <c r="R259" i="1"/>
  <c r="I83" i="5"/>
  <c r="P105" i="5"/>
  <c r="I139" i="5" s="1"/>
  <c r="K105" i="5"/>
  <c r="E111" i="7"/>
  <c r="CA191" i="1"/>
  <c r="AL302" i="1"/>
  <c r="P150" i="1"/>
  <c r="F231" i="1"/>
  <c r="GP311" i="1"/>
  <c r="GM311" i="1"/>
  <c r="E18" i="2"/>
  <c r="BC18" i="1"/>
  <c r="F436" i="1"/>
  <c r="Y108" i="1"/>
  <c r="F145" i="1"/>
  <c r="O345" i="1"/>
  <c r="F360" i="1"/>
  <c r="AK68" i="1"/>
  <c r="AW154" i="1"/>
  <c r="F166" i="1"/>
  <c r="AV26" i="1"/>
  <c r="F42" i="1"/>
  <c r="GP72" i="1"/>
  <c r="CD77" i="1" s="1"/>
  <c r="GM72" i="1"/>
  <c r="CA77" i="1" s="1"/>
  <c r="AB77" i="1"/>
  <c r="AZ22" i="1"/>
  <c r="F402" i="1"/>
  <c r="AZ420" i="1"/>
  <c r="Q150" i="1"/>
  <c r="F240" i="1"/>
  <c r="CD191" i="1"/>
  <c r="AU199" i="1"/>
  <c r="CD108" i="1"/>
  <c r="AU119" i="1"/>
  <c r="U68" i="1"/>
  <c r="F99" i="1"/>
  <c r="U387" i="1"/>
  <c r="AR271" i="1"/>
  <c r="CA259" i="1"/>
  <c r="AY154" i="1"/>
  <c r="F168" i="1"/>
  <c r="AX18" i="1"/>
  <c r="F427" i="1"/>
  <c r="AW26" i="1"/>
  <c r="F43" i="1"/>
  <c r="T302" i="1"/>
  <c r="F335" i="1"/>
  <c r="F97" i="1"/>
  <c r="BA68" i="1"/>
  <c r="BA387" i="1"/>
  <c r="CD259" i="1"/>
  <c r="AU271" i="1"/>
  <c r="CF191" i="1"/>
  <c r="AW199" i="1"/>
  <c r="AW228" i="1" s="1"/>
  <c r="AV345" i="1"/>
  <c r="F363" i="1"/>
  <c r="AB314" i="1"/>
  <c r="S77" i="1"/>
  <c r="AF68" i="1"/>
  <c r="R302" i="1"/>
  <c r="F328" i="1"/>
  <c r="F243" i="1"/>
  <c r="S150" i="1"/>
  <c r="R191" i="1"/>
  <c r="F213" i="1"/>
  <c r="R228" i="1"/>
  <c r="F366" i="1"/>
  <c r="AY345" i="1"/>
  <c r="BA150" i="1"/>
  <c r="F248" i="1"/>
  <c r="AW259" i="1"/>
  <c r="F277" i="1"/>
  <c r="R68" i="1"/>
  <c r="F91" i="1"/>
  <c r="F296" i="1"/>
  <c r="X259" i="1"/>
  <c r="F326" i="1"/>
  <c r="Q302" i="1"/>
  <c r="W68" i="1"/>
  <c r="F101" i="1"/>
  <c r="W387" i="1"/>
  <c r="BA302" i="1"/>
  <c r="F334" i="1"/>
  <c r="CH191" i="1"/>
  <c r="AY199" i="1"/>
  <c r="AY228" i="1" s="1"/>
  <c r="AB191" i="1"/>
  <c r="O199" i="1"/>
  <c r="CD314" i="1"/>
  <c r="F127" i="1"/>
  <c r="AY108" i="1"/>
  <c r="S108" i="1"/>
  <c r="F134" i="1"/>
  <c r="AR119" i="1"/>
  <c r="CA108" i="1"/>
  <c r="U150" i="1"/>
  <c r="F250" i="1"/>
  <c r="AO18" i="1"/>
  <c r="F424" i="1"/>
  <c r="AW108" i="1"/>
  <c r="F125" i="1"/>
  <c r="AP18" i="1"/>
  <c r="F429" i="1"/>
  <c r="T68" i="1"/>
  <c r="F98" i="1"/>
  <c r="T387" i="1"/>
  <c r="F279" i="1"/>
  <c r="AY259" i="1"/>
  <c r="AT18" i="1"/>
  <c r="F438" i="1"/>
  <c r="P191" i="1"/>
  <c r="F202" i="1"/>
  <c r="W302" i="1"/>
  <c r="F338" i="1"/>
  <c r="AW345" i="1"/>
  <c r="F364" i="1"/>
  <c r="F56" i="1"/>
  <c r="AU26" i="1"/>
  <c r="V302" i="1"/>
  <c r="F337" i="1"/>
  <c r="X108" i="1"/>
  <c r="F144" i="1"/>
  <c r="CD345" i="1"/>
  <c r="AU358" i="1"/>
  <c r="CE191" i="1"/>
  <c r="AV199" i="1"/>
  <c r="CH314" i="1"/>
  <c r="AC302" i="1"/>
  <c r="CF314" i="1"/>
  <c r="CE314" i="1"/>
  <c r="P314" i="1"/>
  <c r="AS18" i="1"/>
  <c r="F437" i="1"/>
  <c r="F273" i="1"/>
  <c r="O259" i="1"/>
  <c r="F64" i="1"/>
  <c r="AR26" i="1"/>
  <c r="CA314" i="1"/>
  <c r="AQ18" i="1"/>
  <c r="F430" i="1"/>
  <c r="AV259" i="1"/>
  <c r="F276" i="1"/>
  <c r="AB108" i="1"/>
  <c r="O119" i="1"/>
  <c r="AC68" i="1"/>
  <c r="CH77" i="1"/>
  <c r="CE77" i="1"/>
  <c r="P77" i="1"/>
  <c r="CF77" i="1"/>
  <c r="AV108" i="1"/>
  <c r="F124" i="1"/>
  <c r="V150" i="1"/>
  <c r="F251" i="1"/>
  <c r="F45" i="1"/>
  <c r="AY26" i="1"/>
  <c r="Y259" i="1"/>
  <c r="F165" i="1"/>
  <c r="AV154" i="1"/>
  <c r="V68" i="1"/>
  <c r="F100" i="1"/>
  <c r="V387" i="1"/>
  <c r="S302" i="1"/>
  <c r="F329" i="1"/>
  <c r="U302" i="1"/>
  <c r="F336" i="1"/>
  <c r="F89" i="1"/>
  <c r="Q68" i="1"/>
  <c r="Q387" i="1"/>
  <c r="F385" i="1" l="1"/>
  <c r="AR345" i="1"/>
  <c r="Y77" i="1"/>
  <c r="X314" i="1"/>
  <c r="F339" i="1" s="1"/>
  <c r="F253" i="1"/>
  <c r="X150" i="1"/>
  <c r="Y191" i="1"/>
  <c r="F225" i="1"/>
  <c r="Y228" i="1"/>
  <c r="Y387" i="1" s="1"/>
  <c r="AR154" i="1"/>
  <c r="F187" i="1"/>
  <c r="F384" i="1"/>
  <c r="Y345" i="1"/>
  <c r="I434" i="5"/>
  <c r="F204" i="1"/>
  <c r="AV191" i="1"/>
  <c r="F290" i="1"/>
  <c r="AU259" i="1"/>
  <c r="AR77" i="1"/>
  <c r="CA68" i="1"/>
  <c r="AR191" i="1"/>
  <c r="F226" i="1"/>
  <c r="AR228" i="1"/>
  <c r="CH68" i="1"/>
  <c r="AY77" i="1"/>
  <c r="Y68" i="1"/>
  <c r="F103" i="1"/>
  <c r="CF302" i="1"/>
  <c r="AW314" i="1"/>
  <c r="T22" i="1"/>
  <c r="T420" i="1"/>
  <c r="F412" i="1"/>
  <c r="O191" i="1"/>
  <c r="F201" i="1"/>
  <c r="O228" i="1"/>
  <c r="CD68" i="1"/>
  <c r="AU77" i="1"/>
  <c r="AW150" i="1"/>
  <c r="F234" i="1"/>
  <c r="AV228" i="1"/>
  <c r="CF68" i="1"/>
  <c r="AW77" i="1"/>
  <c r="F377" i="1"/>
  <c r="AU345" i="1"/>
  <c r="F242" i="1"/>
  <c r="R150" i="1"/>
  <c r="R387" i="1"/>
  <c r="S68" i="1"/>
  <c r="F92" i="1"/>
  <c r="S387" i="1"/>
  <c r="AW191" i="1"/>
  <c r="F205" i="1"/>
  <c r="BA22" i="1"/>
  <c r="F411" i="1"/>
  <c r="BA420" i="1"/>
  <c r="F298" i="1"/>
  <c r="AR259" i="1"/>
  <c r="AU108" i="1"/>
  <c r="F138" i="1"/>
  <c r="Y302" i="1"/>
  <c r="F340" i="1"/>
  <c r="X302" i="1"/>
  <c r="Q22" i="1"/>
  <c r="Q420" i="1"/>
  <c r="F403" i="1"/>
  <c r="CE68" i="1"/>
  <c r="AV77" i="1"/>
  <c r="CE302" i="1"/>
  <c r="AV314" i="1"/>
  <c r="AU314" i="1"/>
  <c r="CD302" i="1"/>
  <c r="F236" i="1"/>
  <c r="AY150" i="1"/>
  <c r="AU191" i="1"/>
  <c r="F218" i="1"/>
  <c r="AU228" i="1"/>
  <c r="AZ18" i="1"/>
  <c r="F431" i="1"/>
  <c r="F102" i="1"/>
  <c r="X68" i="1"/>
  <c r="V22" i="1"/>
  <c r="F414" i="1"/>
  <c r="V420" i="1"/>
  <c r="P68" i="1"/>
  <c r="F80" i="1"/>
  <c r="P387" i="1"/>
  <c r="O108" i="1"/>
  <c r="F121" i="1"/>
  <c r="CA302" i="1"/>
  <c r="AR314" i="1"/>
  <c r="P302" i="1"/>
  <c r="F317" i="1"/>
  <c r="AY314" i="1"/>
  <c r="CH302" i="1"/>
  <c r="AR108" i="1"/>
  <c r="F146" i="1"/>
  <c r="F207" i="1"/>
  <c r="AY191" i="1"/>
  <c r="W22" i="1"/>
  <c r="F415" i="1"/>
  <c r="W420" i="1"/>
  <c r="AB302" i="1"/>
  <c r="O314" i="1"/>
  <c r="U22" i="1"/>
  <c r="F413" i="1"/>
  <c r="U420" i="1"/>
  <c r="O77" i="1"/>
  <c r="AB68" i="1"/>
  <c r="X387" i="1" l="1"/>
  <c r="X420" i="1" s="1"/>
  <c r="P434" i="5"/>
  <c r="K434" i="5"/>
  <c r="Y150" i="1"/>
  <c r="F254" i="1"/>
  <c r="O302" i="1"/>
  <c r="F316" i="1"/>
  <c r="V18" i="1"/>
  <c r="F443" i="1"/>
  <c r="AU150" i="1"/>
  <c r="F247" i="1"/>
  <c r="Q18" i="1"/>
  <c r="F432" i="1"/>
  <c r="AU68" i="1"/>
  <c r="F96" i="1"/>
  <c r="AU387" i="1"/>
  <c r="P22" i="1"/>
  <c r="P420" i="1"/>
  <c r="F394" i="1"/>
  <c r="F82" i="1"/>
  <c r="AV68" i="1"/>
  <c r="AV387" i="1"/>
  <c r="AV150" i="1"/>
  <c r="F233" i="1"/>
  <c r="AY68" i="1"/>
  <c r="F85" i="1"/>
  <c r="AY387" i="1"/>
  <c r="W18" i="1"/>
  <c r="F444" i="1"/>
  <c r="AY302" i="1"/>
  <c r="F322" i="1"/>
  <c r="AU302" i="1"/>
  <c r="F333" i="1"/>
  <c r="BA18" i="1"/>
  <c r="F440" i="1"/>
  <c r="R22" i="1"/>
  <c r="F405" i="1"/>
  <c r="R420" i="1"/>
  <c r="O150" i="1"/>
  <c r="F230" i="1"/>
  <c r="T18" i="1"/>
  <c r="F441" i="1"/>
  <c r="Y22" i="1"/>
  <c r="F417" i="1"/>
  <c r="Y420" i="1"/>
  <c r="O68" i="1"/>
  <c r="F79" i="1"/>
  <c r="O387" i="1"/>
  <c r="AW302" i="1"/>
  <c r="F320" i="1"/>
  <c r="U18" i="1"/>
  <c r="F442" i="1"/>
  <c r="AR302" i="1"/>
  <c r="F341" i="1"/>
  <c r="X22" i="1"/>
  <c r="F416" i="1"/>
  <c r="AV302" i="1"/>
  <c r="F319" i="1"/>
  <c r="S22" i="1"/>
  <c r="F406" i="1"/>
  <c r="J16" i="2" s="1"/>
  <c r="J18" i="2" s="1"/>
  <c r="S420" i="1"/>
  <c r="F83" i="1"/>
  <c r="AW68" i="1"/>
  <c r="AW387" i="1"/>
  <c r="AR150" i="1"/>
  <c r="F255" i="1"/>
  <c r="AR68" i="1"/>
  <c r="F104" i="1"/>
  <c r="AR387" i="1"/>
  <c r="I446" i="5" l="1"/>
  <c r="Y18" i="1"/>
  <c r="F446" i="1"/>
  <c r="O22" i="1"/>
  <c r="F393" i="1"/>
  <c r="O420" i="1"/>
  <c r="AU22" i="1"/>
  <c r="AU420" i="1"/>
  <c r="F410" i="1"/>
  <c r="H16" i="2" s="1"/>
  <c r="AY22" i="1"/>
  <c r="AY420" i="1"/>
  <c r="F399" i="1"/>
  <c r="AW22" i="1"/>
  <c r="F397" i="1"/>
  <c r="AW420" i="1"/>
  <c r="X18" i="1"/>
  <c r="F445" i="1"/>
  <c r="AR22" i="1"/>
  <c r="F418" i="1"/>
  <c r="F389" i="1" s="1"/>
  <c r="AR420" i="1"/>
  <c r="S18" i="1"/>
  <c r="F435" i="1"/>
  <c r="R18" i="1"/>
  <c r="F434" i="1"/>
  <c r="AV22" i="1"/>
  <c r="AV420" i="1"/>
  <c r="F396" i="1"/>
  <c r="P18" i="1"/>
  <c r="F423" i="1"/>
  <c r="AR18" i="1" l="1"/>
  <c r="F447" i="1"/>
  <c r="AU18" i="1"/>
  <c r="F439" i="1"/>
  <c r="AW18" i="1"/>
  <c r="F426" i="1"/>
  <c r="AY18" i="1"/>
  <c r="F428" i="1"/>
  <c r="H18" i="2"/>
  <c r="I16" i="2"/>
  <c r="I18" i="2" s="1"/>
  <c r="F390" i="1"/>
  <c r="AV18" i="1"/>
  <c r="F425" i="1"/>
  <c r="O18" i="1"/>
  <c r="F422" i="1"/>
  <c r="F391" i="1" l="1"/>
  <c r="F392" i="1" s="1"/>
</calcChain>
</file>

<file path=xl/sharedStrings.xml><?xml version="1.0" encoding="utf-8"?>
<sst xmlns="http://schemas.openxmlformats.org/spreadsheetml/2006/main" count="7332" uniqueCount="423">
  <si>
    <t>Smeta.RU  (495) 974-1589</t>
  </si>
  <si>
    <t>_PS_</t>
  </si>
  <si>
    <t>Smeta.RU</t>
  </si>
  <si>
    <t/>
  </si>
  <si>
    <t>Новый объект</t>
  </si>
  <si>
    <t>ул. Олений Вал, д. 22Б, ГБОУ №1860 (а/б) на аукцион</t>
  </si>
  <si>
    <t>Сметные нормы списания</t>
  </si>
  <si>
    <t>Коды ОКП для СН-2012 - 2017 г.</t>
  </si>
  <si>
    <t>СН-2012 - 2017 г_глава_1-5</t>
  </si>
  <si>
    <t>Типовой расчет для СН-2012 - 2017 г</t>
  </si>
  <si>
    <t>СН-2012-2017 г. База данных "Сборник стоимостных нормативов"</t>
  </si>
  <si>
    <t>Новая локальная смета</t>
  </si>
  <si>
    <t>Новый раздел</t>
  </si>
  <si>
    <t>Ремонт асфальтобетонного покрытия - 730м2</t>
  </si>
  <si>
    <t>1</t>
  </si>
  <si>
    <t>2.1-3104-1-4/1</t>
  </si>
  <si>
    <t>Разборка покрытий и оснований асфальтобетонных</t>
  </si>
  <si>
    <t>100 м3</t>
  </si>
  <si>
    <t>СН-2012.2. База. Сб.1-3104-1-4/1</t>
  </si>
  <si>
    <t>СН-2012</t>
  </si>
  <si>
    <t>Подрядные работы, гл. 1-5</t>
  </si>
  <si>
    <t>работа</t>
  </si>
  <si>
    <t>2</t>
  </si>
  <si>
    <t>2.1-3104-1-2/1</t>
  </si>
  <si>
    <t>Разборка покрытий и оснований щебеночных</t>
  </si>
  <si>
    <t>СН-2012.2. База. Сб.1-3104-1-2/1</t>
  </si>
  <si>
    <t>3</t>
  </si>
  <si>
    <t>1.49-9101-7-1/1</t>
  </si>
  <si>
    <t>Механизированная погрузка строительного мусора в автомобили-самосвалы</t>
  </si>
  <si>
    <t>т</t>
  </si>
  <si>
    <t>СН-2012.1. База. Сб.49-9101-7-1/1</t>
  </si>
  <si>
    <t>4</t>
  </si>
  <si>
    <t>1.49-9201-1-2/1</t>
  </si>
  <si>
    <t>Перевозка строительного мусора автосамосвалами грузоподъемностью до 10 т на расстояние 1 км - при механизированной погрузке</t>
  </si>
  <si>
    <t>СН-2012.1. База. Сб.49-9201-1-2/1</t>
  </si>
  <si>
    <t>Подрядные работы, гл. 1 перевозка мусора</t>
  </si>
  <si>
    <t>5</t>
  </si>
  <si>
    <t>1.49-9201-1-3/1</t>
  </si>
  <si>
    <t>Перевозка строительного мусора автосамосвалами грузоподъемностью до 10 т - добавляется на каждый последующий 1 км до 100 км</t>
  </si>
  <si>
    <t>СН-2012.1. База. Сб.49-9201-1-3/1</t>
  </si>
  <si>
    <t>*25</t>
  </si>
  <si>
    <t>6</t>
  </si>
  <si>
    <t>2.1-3303-1-1/1</t>
  </si>
  <si>
    <t>Устройство подстилающих и выравнивающих слоев оснований из песка</t>
  </si>
  <si>
    <t>СН-2012.2. База. Сб.1-3303-1-1/1</t>
  </si>
  <si>
    <t>7</t>
  </si>
  <si>
    <t>2.1-3303-1-2/1</t>
  </si>
  <si>
    <t>Устройство подстилающих и выравнивающих слоев оснований из щебня</t>
  </si>
  <si>
    <t>СН-2012.2. База. Сб.1-3303-1-2/1</t>
  </si>
  <si>
    <t>8</t>
  </si>
  <si>
    <t>2.1-3103-18-1/1</t>
  </si>
  <si>
    <t>Устройство покрытий из асфальтобетонных смесей вручную, толщина 4 см</t>
  </si>
  <si>
    <t>100 м2</t>
  </si>
  <si>
    <t>СН-2012.2. База. Сб.1-3103-18-1/1</t>
  </si>
  <si>
    <t>/4*5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</si>
  <si>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</si>
  <si>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</si>
  <si>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</si>
  <si>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</si>
  <si>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</si>
  <si>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</si>
  <si>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</si>
  <si>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</si>
  <si>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</si>
  <si>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</si>
  <si>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</si>
  <si>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</si>
  <si>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</si>
  <si>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</si>
  <si>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</si>
  <si>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</si>
  <si>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</si>
  <si>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</si>
  <si>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</si>
  <si>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</si>
  <si>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</si>
  <si>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</si>
  <si>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</si>
  <si>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</si>
  <si>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</si>
  <si>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</si>
  <si>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</si>
  <si>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</si>
  <si>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</si>
  <si>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</si>
  <si>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</si>
  <si>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</si>
  <si>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</si>
  <si>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</si>
  <si>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</si>
  <si>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</si>
  <si>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</si>
  <si>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</si>
  <si>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</si>
  <si>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</si>
  <si>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</si>
  <si>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</si>
  <si>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</si>
  <si>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</si>
  <si>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</si>
  <si>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</si>
  <si>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</si>
  <si>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</si>
  <si>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</si>
  <si>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</si>
  <si>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</si>
  <si>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</si>
  <si>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Устройство асфальтобетонного покрытия - 13м2</t>
  </si>
  <si>
    <t>9</t>
  </si>
  <si>
    <t>2.49-3101-3-1/1</t>
  </si>
  <si>
    <t>Разработка грунта с погрузкой на автомобили-самосвалы экскаваторами с ковшом вместимостью 0,8 м3, группа грунтов 1-3</t>
  </si>
  <si>
    <t>СН-2012.2. База. Сб.49-3101-3-1/1</t>
  </si>
  <si>
    <t>10</t>
  </si>
  <si>
    <t>2.49-3401-1-1/1</t>
  </si>
  <si>
    <t>Перевозка грунта автосамосвалами грузоподъемностью до 10 т на расстояние 1 км</t>
  </si>
  <si>
    <t>м3</t>
  </si>
  <si>
    <t>СН-2012.2. База. Сб.49-3401-1-1/1</t>
  </si>
  <si>
    <t>11</t>
  </si>
  <si>
    <t>2.49-3401-1-2/1</t>
  </si>
  <si>
    <t>Перевозка грунта автосамосвалами грузоподъемностью до 10 т - добавляется на каждый последующий 1 км до 100 км (к поз. 49-3401-1-1)</t>
  </si>
  <si>
    <t>СН-2012.2. База. Сб.49-3401-1-2/1</t>
  </si>
  <si>
    <t>*26</t>
  </si>
  <si>
    <t>12</t>
  </si>
  <si>
    <t>13</t>
  </si>
  <si>
    <t>14</t>
  </si>
  <si>
    <t>Устройство покрытий из асфальтобетонных смесей вручную, толщина 4 см (до 5см)</t>
  </si>
  <si>
    <t>Ремонт отмостки - 85м2</t>
  </si>
  <si>
    <t>15</t>
  </si>
  <si>
    <t>16</t>
  </si>
  <si>
    <t>17</t>
  </si>
  <si>
    <t>18</t>
  </si>
  <si>
    <t>19</t>
  </si>
  <si>
    <t>20</t>
  </si>
  <si>
    <t>21</t>
  </si>
  <si>
    <t>22</t>
  </si>
  <si>
    <t>Замена бортового камня</t>
  </si>
  <si>
    <t>Новый подраздел</t>
  </si>
  <si>
    <t>Замена дорожного бортового камня - 70,4м.п.</t>
  </si>
  <si>
    <t>23</t>
  </si>
  <si>
    <t>2.1-3202-1-1/1</t>
  </si>
  <si>
    <t>Замена бортового камня бетонного во дворовых территориях</t>
  </si>
  <si>
    <t>м</t>
  </si>
  <si>
    <t>СН-2012.2. База. Сб.1-3202-1-1/1</t>
  </si>
  <si>
    <t>24</t>
  </si>
  <si>
    <t>25</t>
  </si>
  <si>
    <t>Замена садового бортового камня - 440м.п.</t>
  </si>
  <si>
    <t>26</t>
  </si>
  <si>
    <t>2.1-3203-1-5/1</t>
  </si>
  <si>
    <t>Разборка бортовых камней бетонных газонных и садовых марка 2ГБ 60.8.20, цвет серый, при цементобетонных покрытиях</t>
  </si>
  <si>
    <t>100 м</t>
  </si>
  <si>
    <t>СН-2012.2. База. Сб.1-3203-1-5/1</t>
  </si>
  <si>
    <t>=0</t>
  </si>
  <si>
    <t>*0,2</t>
  </si>
  <si>
    <t>27</t>
  </si>
  <si>
    <t>28</t>
  </si>
  <si>
    <t>29</t>
  </si>
  <si>
    <t>30</t>
  </si>
  <si>
    <t>Установка бортовых камней бетонных газонных и садовых марка 2ГБ 60.8.20, цвет серый, при цементобетонных покрытиях</t>
  </si>
  <si>
    <t>Устройство площадки ПДД - 85,7м2</t>
  </si>
  <si>
    <t>31</t>
  </si>
  <si>
    <t>32</t>
  </si>
  <si>
    <t>33</t>
  </si>
  <si>
    <t>34</t>
  </si>
  <si>
    <t>35</t>
  </si>
  <si>
    <t>36</t>
  </si>
  <si>
    <t>37</t>
  </si>
  <si>
    <t>5.3-3103-11-1/1</t>
  </si>
  <si>
    <t>Устройство наливного полиуретанового покрытия спортивных площадок и беговых дорожек толщиной 10 мм</t>
  </si>
  <si>
    <t>СН-2012.5. База. Сб.3-3103-11-1/1</t>
  </si>
  <si>
    <t>38</t>
  </si>
  <si>
    <t>5.3-3103-11-2/1</t>
  </si>
  <si>
    <t>Устройство наливного полиуретанового покрытия спортивных площадок и беговых дорожек, добавляется на 2 мм толщины покрытия</t>
  </si>
  <si>
    <t>СН-2012.5. База. Сб.3-3103-11-2/1</t>
  </si>
  <si>
    <t>39</t>
  </si>
  <si>
    <t>2.1-3203-10-1/1</t>
  </si>
  <si>
    <t>Нанесение линии дорожной разметки краской, линия продольная, сплошная, краска белая</t>
  </si>
  <si>
    <t>м2</t>
  </si>
  <si>
    <t>СН-2012.2. База. Сб.1-3203-10-1/1</t>
  </si>
  <si>
    <t>Автомобильные дороги, раздел 32</t>
  </si>
  <si>
    <t>Устройство резинового покрытия на детских площадках - 1099м2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</si>
  <si>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</si>
  <si>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</si>
  <si>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</si>
  <si>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</si>
  <si>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</si>
  <si>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</si>
  <si>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</si>
  <si>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</si>
  <si>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</si>
  <si>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Устройство прыжковой ямы и полиуретановой дорожки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</si>
  <si>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</si>
  <si>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</si>
  <si>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</si>
  <si>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</si>
  <si>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</si>
  <si>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</si>
  <si>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</si>
  <si>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</si>
  <si>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</si>
  <si>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5.4-3203-7-2/1</t>
  </si>
  <si>
    <t>Устройство корыта глубиной 40 см вручную Прим. (прыжковая яма)</t>
  </si>
  <si>
    <t>СН-2012.5. База. Сб.4-3203-7-2/1</t>
  </si>
  <si>
    <t>58</t>
  </si>
  <si>
    <t>итог</t>
  </si>
  <si>
    <t>Итого по смете</t>
  </si>
  <si>
    <t>ндс</t>
  </si>
  <si>
    <t>НДС 18%</t>
  </si>
  <si>
    <t>итого</t>
  </si>
  <si>
    <t>Итого с НДС</t>
  </si>
  <si>
    <t>лимит</t>
  </si>
  <si>
    <t>С учетом К оптимизации 0,944263368</t>
  </si>
  <si>
    <t>Уровень цен на 01.01.2017 г</t>
  </si>
  <si>
    <t>_OBSM_</t>
  </si>
  <si>
    <t>9999990008</t>
  </si>
  <si>
    <t>Трудозатраты рабочих</t>
  </si>
  <si>
    <t>чел.-ч.</t>
  </si>
  <si>
    <t>22.1-10-5</t>
  </si>
  <si>
    <t>СН-2012.22. База. п.1-10-5 (101002)</t>
  </si>
  <si>
    <t>Компрессоры с дизельным двигателем прицепные до 5 м3/мин</t>
  </si>
  <si>
    <t>маш.-ч</t>
  </si>
  <si>
    <t>22.1-30-54</t>
  </si>
  <si>
    <t>СН-2012.22. База. п.1-30-54 (308901)</t>
  </si>
  <si>
    <t>Молотки отбойные</t>
  </si>
  <si>
    <t>22.1-5-48</t>
  </si>
  <si>
    <t>СН-2012.22. База. п.1-5-48 (056003)</t>
  </si>
  <si>
    <t>Автогрейдеры, мощность 99-147 кВт (130-200 л.с.)</t>
  </si>
  <si>
    <t>22.1-2-1</t>
  </si>
  <si>
    <t>СН-2012.22. База. п.1-2-1 (020101)</t>
  </si>
  <si>
    <t>Тракторы на гусеничном ходу, мощность до 60 (81) кВт (л.с.)</t>
  </si>
  <si>
    <t>22.1-1-5</t>
  </si>
  <si>
    <t>СН-2012.22. База. п.1-1-5 (010109)</t>
  </si>
  <si>
    <t>Экскаваторы на гусеничном ходу гидравлические, объем ковша до 0,65 м3</t>
  </si>
  <si>
    <t>22.1-18-12</t>
  </si>
  <si>
    <t>СН-2012.22. База. п.1-18-12 (184001)</t>
  </si>
  <si>
    <t>Автомобили-самосвалы, грузоподъемность до 7 т</t>
  </si>
  <si>
    <t>22.1-18-13</t>
  </si>
  <si>
    <t>СН-2012.22. База. п.1-18-13 (184002)</t>
  </si>
  <si>
    <t>Автомобили-самосвалы, грузоподъемность до 10 т</t>
  </si>
  <si>
    <t>22.1-5-15</t>
  </si>
  <si>
    <t>СН-2012.22. База. п.1-5-15 (050703)</t>
  </si>
  <si>
    <t>Катки прицепные пневмоколесные, масса до 50 т</t>
  </si>
  <si>
    <t>22.1-5-18</t>
  </si>
  <si>
    <t>СН-2012.22. База. п.1-5-18 (050902)</t>
  </si>
  <si>
    <t>Поливомоечные машины, емкость цистерны более 5000 л</t>
  </si>
  <si>
    <t>22.1-5-7</t>
  </si>
  <si>
    <t>СН-2012.22. База. п.1-5-7 (050301)</t>
  </si>
  <si>
    <t>Катки дорожные самоходные на пневмоколесном ходу, масса до 16 т</t>
  </si>
  <si>
    <t>21.1-12-10</t>
  </si>
  <si>
    <t>СН-2012.21. База. Р.1, о.12, поз.10</t>
  </si>
  <si>
    <t>Песок для дорожных работ, рядовой</t>
  </si>
  <si>
    <t>21.1-25-13</t>
  </si>
  <si>
    <t>СН-2012.21. База. Р.1, о.25, поз.13</t>
  </si>
  <si>
    <t>Вода</t>
  </si>
  <si>
    <t>22.1-1-43</t>
  </si>
  <si>
    <t>СН-2012.22. База. п.1-1-43 (012102)</t>
  </si>
  <si>
    <t>Бульдозеры гусеничные, мощность до 59 кВт (80 л.с.)</t>
  </si>
  <si>
    <t>22.1-5-2</t>
  </si>
  <si>
    <t>СН-2012.22. База. п.1-5-2 (050102)</t>
  </si>
  <si>
    <t>Катки самоходные вибрационные, масса до 8 т</t>
  </si>
  <si>
    <t>22.1-5-3</t>
  </si>
  <si>
    <t>СН-2012.22. База. п.1-5-3 (050103)</t>
  </si>
  <si>
    <t>Катки самоходные вибрационные, масса более 8 т</t>
  </si>
  <si>
    <t>21.1-12-36</t>
  </si>
  <si>
    <t>СН-2012.21. База. Р.1, о.12, поз.36</t>
  </si>
  <si>
    <t>Щебень из естественного камня для строительных работ, марка 1200-800, фракция 20-40 мм</t>
  </si>
  <si>
    <t>22.1-5-4</t>
  </si>
  <si>
    <t>СН-2012.22. База. п.1-5-4 (050201)</t>
  </si>
  <si>
    <t>Катки дорожные самоходные статические, масса до 5 т</t>
  </si>
  <si>
    <t>22.1-5-5</t>
  </si>
  <si>
    <t>СН-2012.22. База. п.1-5-5 (050202)</t>
  </si>
  <si>
    <t>Катки дорожные самоходные статические, масса до 10 т</t>
  </si>
  <si>
    <t>21.3-3-18</t>
  </si>
  <si>
    <t>СН-2012.21. База. Р.3, о.3, поз.18</t>
  </si>
  <si>
    <t>Смеси асфальтобетонные дорожные горячие мелкозернистые, марка I, тип Б</t>
  </si>
  <si>
    <t>22.1-1-44</t>
  </si>
  <si>
    <t>СН-2012.22. База. п.1-1-44 (012103)</t>
  </si>
  <si>
    <t>Бульдозеры гусеничные, мощность до 79 кВт (108 л.с.)</t>
  </si>
  <si>
    <t>22.1-1-6</t>
  </si>
  <si>
    <t>СН-2012.22. База. п.1-1-6 (010111)</t>
  </si>
  <si>
    <t>Экскаваторы на гусеничном ходу гидравлические, объем ковша до 0,8 м3</t>
  </si>
  <si>
    <t>22.1-10-4</t>
  </si>
  <si>
    <t>СН-2012.22. База. п.1-10-4 (101001)</t>
  </si>
  <si>
    <t>Компрессоры с дизельным двигателем прицепные до 2,5 м3/мин</t>
  </si>
  <si>
    <t>22.1-18-27</t>
  </si>
  <si>
    <t>СН-2012.22. База. п.1-18-27 (183301)</t>
  </si>
  <si>
    <t>Автомобили грузовые для аварийно-ремонтных работ, грузоподъемность до 7 т</t>
  </si>
  <si>
    <t>22.1-4-1</t>
  </si>
  <si>
    <t>СН-2012.22. База. п.1-4-1 (040101)</t>
  </si>
  <si>
    <t>Погрузчики универсальные на пневмоколесном ходу, грузоподъемность до 1 т</t>
  </si>
  <si>
    <t>21.3-1-36</t>
  </si>
  <si>
    <t>СН-2012.21. База. Р.3, о.1, поз.36</t>
  </si>
  <si>
    <t>Смеси бетонные, БСГ, тяжелого бетона на гранитном щебне фракция 20-40 для инженерных коммуникаций и дорог, класс прочности: В15 (М200); П1, F100, W2</t>
  </si>
  <si>
    <t>21.3-2-15</t>
  </si>
  <si>
    <t>СН-2012.21. База. Р.3, о.2, поз.15</t>
  </si>
  <si>
    <t>Растворы цементные, марка 100</t>
  </si>
  <si>
    <t>21.5-3-13</t>
  </si>
  <si>
    <t>СН-2012.21. База. Р.5, о.3, поз.13</t>
  </si>
  <si>
    <t>Камни бетонные бортовые, марка БР 100.30.15</t>
  </si>
  <si>
    <t>9999990001</t>
  </si>
  <si>
    <t>Масса мусора</t>
  </si>
  <si>
    <t>22.1-4-12</t>
  </si>
  <si>
    <t>СН-2012.22. База. п.1-4-12 (040205)</t>
  </si>
  <si>
    <t>Погрузчики на автомобильном ходу, грузоподъемность до 5 т</t>
  </si>
  <si>
    <t>21.3-1-69</t>
  </si>
  <si>
    <t>СН-2012.21. База. Р.3, о.1, поз.69</t>
  </si>
  <si>
    <t>Смеси бетонные, БСГ, тяжелого бетона на гранитном щебне, класс прочности: В15 (М200); П3, фракция 5-20, F50-100, W0-2</t>
  </si>
  <si>
    <t>21.5-3-9</t>
  </si>
  <si>
    <t>СН-2012.21. База. Р.5, о.3, поз.9</t>
  </si>
  <si>
    <t>Камни бетонные бортовые газонные, марка 2ГБ 60.8.20, цвет серый</t>
  </si>
  <si>
    <t>22.1-17-168</t>
  </si>
  <si>
    <t>СН-2012.22. База. п.1-17-168 (266501)</t>
  </si>
  <si>
    <t>Укладчики полимерных покрытий на игровых и спортивных площадках, производительность 10-50 м2/ч</t>
  </si>
  <si>
    <t>22.1-30-102</t>
  </si>
  <si>
    <t>СН-2012.22. База. п.1-30-102 (303704)</t>
  </si>
  <si>
    <t>Дрели электрические, двухскоростные, мощностью 600 Вт</t>
  </si>
  <si>
    <t>22.1-4-8</t>
  </si>
  <si>
    <t>СН-2012.22. База. п.1-4-8 (040201)</t>
  </si>
  <si>
    <t>Погрузчики на автомобильном ходу, грузоподъемность до 1 т</t>
  </si>
  <si>
    <t>22.1-6-68</t>
  </si>
  <si>
    <t>СН-2012.22. База. п.1-6-68 (067203)</t>
  </si>
  <si>
    <t>Растворосмесители стационарные, емкость до 250 л</t>
  </si>
  <si>
    <t>21.1-25-255</t>
  </si>
  <si>
    <t>СН-2012.21. База. Р.1, о.25, поз.255</t>
  </si>
  <si>
    <t>Пленка полиэтиленовая, толщина 0,12 - 0,15 мм</t>
  </si>
  <si>
    <t>21.1-25-343</t>
  </si>
  <si>
    <t>СН-2012.21. База. Р.1, о.25, поз.343</t>
  </si>
  <si>
    <t>Скипидар живичный</t>
  </si>
  <si>
    <t>21.1-25-769</t>
  </si>
  <si>
    <t>СН-2012.21. База. Р.1, о.25, поз.769</t>
  </si>
  <si>
    <t>Крошка резиновая гранулированная, фракция 2-3 мм</t>
  </si>
  <si>
    <t>кг</t>
  </si>
  <si>
    <t>21.1-25-776</t>
  </si>
  <si>
    <t>СН-2012.21. База. Р.1, о.25, поз.776</t>
  </si>
  <si>
    <t>Средство связующее универсальное полиуретановое на основе резиновой и каучуковой крошки для устройства высокопрочных эластичных покрытий</t>
  </si>
  <si>
    <t>21.1-6-101</t>
  </si>
  <si>
    <t>СН-2012.21. База. Р.1, о.6, поз.101</t>
  </si>
  <si>
    <t>Пигменты сухие для красок, кислотный желтый</t>
  </si>
  <si>
    <t>22.1-5-75</t>
  </si>
  <si>
    <t>СН-2012.22. База. п.1-5-75 (057208)</t>
  </si>
  <si>
    <t>Машины разметочные, тип BMT-350С, для нанесения краски</t>
  </si>
  <si>
    <t>21.1-6-196</t>
  </si>
  <si>
    <t>СН-2012.21. База. Р.1, о.6, поз.196</t>
  </si>
  <si>
    <t>Краски (без стеклошариков) дорожные белые, марка "Магистраль"</t>
  </si>
  <si>
    <t>"УТВЕРЖДАЮ"</t>
  </si>
  <si>
    <t>(локальный сметный расчет)</t>
  </si>
  <si>
    <t>(наименование работ и затрат, наименование объекта)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</si>
  <si>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</si>
  <si>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</si>
  <si>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</si>
  <si>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</si>
  <si>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</si>
  <si>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ед. изм. руб.</t>
  </si>
  <si>
    <t>Попра-вочные коэфф.</t>
  </si>
  <si>
    <t>Коэфф. зимних удоро-жаний</t>
  </si>
  <si>
    <t>Коэфф. пересчета</t>
  </si>
  <si>
    <t>ВСЕГО затрат, руб.</t>
  </si>
  <si>
    <t>Справочно</t>
  </si>
  <si>
    <t>ЗТР, всего чел.-час</t>
  </si>
  <si>
    <t>Ст-ть ед. с начислен.</t>
  </si>
  <si>
    <t>Составлен(а) в уровне текущих (прогнозных) цен январь 2017 года</t>
  </si>
  <si>
    <t>ЗП</t>
  </si>
  <si>
    <t>ЭМ</t>
  </si>
  <si>
    <t>в т.ч. ЗПМ</t>
  </si>
  <si>
    <t>НР от ЗП</t>
  </si>
  <si>
    <t>%</t>
  </si>
  <si>
    <t>СП от ЗП</t>
  </si>
  <si>
    <t>НР и СП от ЗПМ</t>
  </si>
  <si>
    <t>ЗТР</t>
  </si>
  <si>
    <t>чел-ч</t>
  </si>
  <si>
    <t>МР</t>
  </si>
  <si>
    <t>___________________________</t>
  </si>
  <si>
    <t>" ___ " ___________ 20 ___ г.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</si>
  <si>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</si>
  <si>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</si>
  <si>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</si>
  <si>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№ п/п</t>
  </si>
  <si>
    <t>Количество</t>
  </si>
  <si>
    <t>Примечание</t>
  </si>
  <si>
    <t>Заказчик _________________</t>
  </si>
  <si>
    <t>Подрядчик _________________</t>
  </si>
  <si>
    <t>TYPE</t>
  </si>
  <si>
    <t>LINK</t>
  </si>
  <si>
    <t>RABMAT_EX</t>
  </si>
  <si>
    <t>TIP_RAB</t>
  </si>
  <si>
    <t>TYPE_TRUD</t>
  </si>
  <si>
    <t>TAB</t>
  </si>
  <si>
    <t>NAME</t>
  </si>
  <si>
    <t>EDIZM</t>
  </si>
  <si>
    <t>KOLL</t>
  </si>
  <si>
    <t>UCH</t>
  </si>
  <si>
    <t>PRICE_B</t>
  </si>
  <si>
    <t>STOIM_B</t>
  </si>
  <si>
    <t>PRICE_C</t>
  </si>
  <si>
    <t>STOIM_C</t>
  </si>
  <si>
    <t>CRC_GR_RES</t>
  </si>
  <si>
    <t>CRC_B</t>
  </si>
  <si>
    <t>CRC_C</t>
  </si>
  <si>
    <t>BuildingFinished</t>
  </si>
  <si>
    <t>Trud</t>
  </si>
  <si>
    <t>Mash</t>
  </si>
  <si>
    <t>Mat</t>
  </si>
  <si>
    <t>MatZak</t>
  </si>
  <si>
    <t>Oborud</t>
  </si>
  <si>
    <t>OborudZak</t>
  </si>
  <si>
    <t>ZeroStoim</t>
  </si>
  <si>
    <t>NegativeKoll</t>
  </si>
  <si>
    <t>ReUnionKollResurcy</t>
  </si>
  <si>
    <t>Ресурсная ведомость на</t>
  </si>
  <si>
    <t>Обоснование</t>
  </si>
  <si>
    <t>Наименование</t>
  </si>
  <si>
    <t>Объем</t>
  </si>
  <si>
    <t>Базовая</t>
  </si>
  <si>
    <t>цена</t>
  </si>
  <si>
    <t>стоимость</t>
  </si>
  <si>
    <t>Текущая</t>
  </si>
  <si>
    <t xml:space="preserve">Материальные ресурсы </t>
  </si>
  <si>
    <t xml:space="preserve">Итого материальные ресурсы </t>
  </si>
  <si>
    <t xml:space="preserve">Итого материалы заказчика </t>
  </si>
  <si>
    <t xml:space="preserve">Итого оборудование </t>
  </si>
  <si>
    <t xml:space="preserve">Итого оборудование заказчика </t>
  </si>
  <si>
    <t>Государственное казенное общеобразовательное учреждение города Москвы "Специальная (коррекционная) общеобразовательная школа-интернат №30 имени К.А. Микаэльяна (дошкольное отделение), ул. Олений Вал, д.22Б</t>
  </si>
  <si>
    <t>Итого материальные ресурсы без учета НДС</t>
  </si>
  <si>
    <t>Устройство покрытия из резиновой крошки для благоустройства ГБОУ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</si>
</sst>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"/>
    <numFmt numFmtId="165" formatCode="#,##0.00####;[Red]\-\ #,##0.00####"/>
    <numFmt numFmtId="166" formatCode="#,##0.00;[Red]\-\ #,##0.00"/>
  </numFmts>
  <fonts count="18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sz val="13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164" fontId="10" fillId="0" borderId="0" xfId="0" applyNumberFormat="1" applyFont="1"/>
    <xf numFmtId="1" fontId="10" fillId="0" borderId="0" xfId="0" applyNumberFormat="1" applyFont="1"/>
    <xf numFmtId="0" fontId="1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166" fontId="15" fillId="0" borderId="0" xfId="0" applyNumberFormat="1" applyFont="1" applyAlignment="1">
      <alignment horizontal="right"/>
    </xf>
    <xf numFmtId="166" fontId="0" fillId="0" borderId="0" xfId="0" applyNumberFormat="1"/>
    <xf numFmtId="0" fontId="17" fillId="0" borderId="0" xfId="0" applyFont="1" applyAlignment="1">
      <alignment horizontal="right"/>
    </xf>
    <xf numFmtId="0" fontId="0" fillId="0" borderId="5" xfId="0" applyBorder="1"/>
    <xf numFmtId="166" fontId="17" fillId="0" borderId="5" xfId="0" applyNumberFormat="1" applyFont="1" applyBorder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left" wrapText="1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left" vertical="top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left" vertical="top"/>
    </xf>
    <xf numFmtId="0" fontId="10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right" wrapText="1"/>
    </xf>
    <xf numFmtId="0" fontId="10" fillId="0" borderId="3" xfId="0" applyFont="1" applyBorder="1" applyAlignment="1">
      <alignment horizontal="right"/>
    </xf>
    <xf numFmtId="0" fontId="10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right" wrapText="1"/>
    </xf>
    <xf numFmtId="0" fontId="10" fillId="0" borderId="2" xfId="0" applyFont="1" applyBorder="1" applyAlignment="1">
      <alignment horizontal="right"/>
    </xf>
    <xf numFmtId="49" fontId="10" fillId="0" borderId="3" xfId="0" applyNumberFormat="1" applyFont="1" applyBorder="1" applyAlignment="1">
      <alignment horizontal="left" vertical="top" wrapText="1"/>
    </xf>
    <xf numFmtId="166" fontId="10" fillId="0" borderId="3" xfId="0" applyNumberFormat="1" applyFont="1" applyBorder="1" applyAlignment="1">
      <alignment horizontal="right" wrapText="1"/>
    </xf>
    <xf numFmtId="0" fontId="10" fillId="0" borderId="0" xfId="0" applyFont="1" applyAlignment="1">
      <alignment horizontal="left" wrapText="1"/>
    </xf>
    <xf numFmtId="166" fontId="17" fillId="0" borderId="5" xfId="0" applyNumberFormat="1" applyFont="1" applyBorder="1" applyAlignment="1">
      <alignment horizontal="right"/>
    </xf>
    <xf numFmtId="166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/>
    <xf numFmtId="0" fontId="13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7" fillId="0" borderId="0" xfId="0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3" xfId="0" applyFont="1" applyBorder="1" applyAlignment="1">
      <alignment horizontal="right"/>
    </xf>
    <xf numFmtId="166" fontId="17" fillId="0" borderId="3" xfId="0" applyNumberFormat="1" applyFont="1" applyBorder="1" applyAlignment="1">
      <alignment horizontal="right"/>
    </xf>
    <xf numFmtId="0" fontId="11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9"/>
  <sheetViews>
    <sheetView tabSelected="1" topLeftCell="A533" zoomScaleNormal="100" workbookViewId="0">
      <selection activeCell="I547" sqref="I542:J547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6" width="11.7109375" customWidth="1"/>
    <col min="7" max="7" width="12.7109375" customWidth="1"/>
    <col min="9" max="11" width="12.7109375" customWidth="1"/>
    <col min="15" max="31" width="0" hidden="1" customWidth="1"/>
    <col min="32" max="32" width="113.140625" hidden="1" customWidth="1"/>
    <col min="33" max="36" width="0" hidden="1" customWidth="1"/>
  </cols>
  <sheetData>
    <row r="1" spans="1:11" ht="36.75" customHeight="1" x14ac:dyDescent="0.25">
      <c r="A1" s="52" t="str">
        <f>CONCATENATE( "ЛОКАЛЬНАЯ СМЕТА № ",IF(Source!F12&lt;&gt;"Новый объект", Source!F12, ""))</f>
        <v xml:space="preserve">ЛОКАЛЬНАЯ СМЕТА № 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x14ac:dyDescent="0.2">
      <c r="A2" s="53" t="s">
        <v>344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4.25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8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4.25" hidden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8.75" customHeight="1" x14ac:dyDescent="0.25">
      <c r="A6" s="52" t="s">
        <v>422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x14ac:dyDescent="0.2">
      <c r="A7" s="53" t="s">
        <v>345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14.25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 x14ac:dyDescent="0.2">
      <c r="A9" s="44" t="str">
        <f>CONCATENATE( "Основание: чертежи № ", Source!J12)</f>
        <v xml:space="preserve">Основание: чертежи № 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4.25" x14ac:dyDescent="0.2">
      <c r="A10" s="10" t="s">
        <v>359</v>
      </c>
      <c r="B10" s="10"/>
      <c r="C10" s="10"/>
      <c r="D10" s="11"/>
      <c r="E10" s="12"/>
      <c r="F10" s="10"/>
      <c r="G10" s="10"/>
      <c r="H10" s="10"/>
      <c r="I10" s="10"/>
      <c r="J10" s="10"/>
      <c r="K10" s="10"/>
    </row>
    <row r="11" spans="1:11" ht="14.25" x14ac:dyDescent="0.2">
      <c r="A11" s="50" t="s">
        <v>346</v>
      </c>
      <c r="B11" s="50" t="s">
        <v>347</v>
      </c>
      <c r="C11" s="50" t="s">
        <v>348</v>
      </c>
      <c r="D11" s="50" t="s">
        <v>349</v>
      </c>
      <c r="E11" s="50" t="s">
        <v>350</v>
      </c>
      <c r="F11" s="50" t="s">
        <v>351</v>
      </c>
      <c r="G11" s="50" t="s">
        <v>352</v>
      </c>
      <c r="H11" s="50" t="s">
        <v>353</v>
      </c>
      <c r="I11" s="50" t="s">
        <v>354</v>
      </c>
      <c r="J11" s="50" t="s">
        <v>355</v>
      </c>
      <c r="K11" s="13" t="s">
        <v>356</v>
      </c>
    </row>
    <row r="12" spans="1:11" ht="28.5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14" t="s">
        <v>357</v>
      </c>
    </row>
    <row r="13" spans="1:11" ht="28.5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14" t="s">
        <v>358</v>
      </c>
    </row>
    <row r="14" spans="1:11" ht="14.25" x14ac:dyDescent="0.2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  <c r="K14" s="14">
        <v>11</v>
      </c>
    </row>
    <row r="16" spans="1:11" ht="16.5" x14ac:dyDescent="0.25">
      <c r="A16" s="49" t="str">
        <f>CONCATENATE("Локальная смета: ",IF(Source!G20&lt;&gt;"Новая локальная смета", Source!G20, ""))</f>
        <v xml:space="preserve">Локальная смета: 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22" ht="16.5" x14ac:dyDescent="0.25">
      <c r="A17" s="49" t="str">
        <f>CONCATENATE("Раздел: ",IF(Source!G24&lt;&gt;"Новый раздел", Source!G24, ""))</f>
        <v>Раздел: Ремонт асфальтобетонного покрытия - 730м2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2" ht="28.5" x14ac:dyDescent="0.2">
      <c r="A18" s="15" t="str">
        <f>Source!E28</f>
        <v>1</v>
      </c>
      <c r="B18" s="16" t="str">
        <f>Source!F28</f>
        <v>2.1-3104-1-4/1</v>
      </c>
      <c r="C18" s="16" t="str">
        <f>Source!G28</f>
        <v>Разборка покрытий и оснований асфальтобетонных</v>
      </c>
      <c r="D18" s="17" t="str">
        <f>Source!H28</f>
        <v>100 м3</v>
      </c>
      <c r="E18" s="9">
        <f>Source!I28</f>
        <v>0.36499999999999999</v>
      </c>
      <c r="F18" s="19"/>
      <c r="G18" s="18"/>
      <c r="H18" s="9"/>
      <c r="I18" s="9"/>
      <c r="J18" s="20"/>
      <c r="K18" s="20"/>
      <c r="Q18">
        <f>ROUND((Source!BZ28/100)*ROUND((Source!AF28*Source!AV28)*Source!I28, 2), 2)</f>
        <v>6396.59</v>
      </c>
      <c r="R18">
        <f>Source!X28</f>
        <v>6396.59</v>
      </c>
      <c r="S18">
        <f>ROUND((Source!CA28/100)*ROUND((Source!AF28*Source!AV28)*Source!I28, 2), 2)</f>
        <v>913.8</v>
      </c>
      <c r="T18">
        <f>Source!Y28</f>
        <v>913.8</v>
      </c>
      <c r="U18">
        <f>ROUND((175/100)*ROUND((Source!AE28*Source!AV28)*Source!I28, 2), 2)</f>
        <v>7905.22</v>
      </c>
      <c r="V18">
        <f>ROUND((108/100)*ROUND(Source!CS28*Source!I28, 2), 2)</f>
        <v>4878.6499999999996</v>
      </c>
    </row>
    <row r="19" spans="1:22" x14ac:dyDescent="0.2">
      <c r="C19" s="21" t="str">
        <f>"Объем: "&amp;Source!I28&amp;"=730*"&amp;"0,05/"&amp;"100"</f>
        <v>Объем: 0,365=730*0,05/100</v>
      </c>
    </row>
    <row r="20" spans="1:22" ht="14.25" x14ac:dyDescent="0.2">
      <c r="A20" s="15"/>
      <c r="B20" s="16"/>
      <c r="C20" s="16" t="s">
        <v>360</v>
      </c>
      <c r="D20" s="17"/>
      <c r="E20" s="9"/>
      <c r="F20" s="19">
        <f>Source!AO28</f>
        <v>25035.599999999999</v>
      </c>
      <c r="G20" s="18" t="str">
        <f>Source!DG28</f>
        <v/>
      </c>
      <c r="H20" s="9">
        <f>Source!AV28</f>
        <v>1</v>
      </c>
      <c r="I20" s="9">
        <f>IF(Source!BA28&lt;&gt; 0, Source!BA28, 1)</f>
        <v>1</v>
      </c>
      <c r="J20" s="20">
        <f>Source!S28</f>
        <v>9137.99</v>
      </c>
      <c r="K20" s="20"/>
    </row>
    <row r="21" spans="1:22" ht="14.25" x14ac:dyDescent="0.2">
      <c r="A21" s="15"/>
      <c r="B21" s="16"/>
      <c r="C21" s="16" t="s">
        <v>361</v>
      </c>
      <c r="D21" s="17"/>
      <c r="E21" s="9"/>
      <c r="F21" s="19">
        <f>Source!AM28</f>
        <v>23380.83</v>
      </c>
      <c r="G21" s="18" t="str">
        <f>Source!DE28</f>
        <v/>
      </c>
      <c r="H21" s="9">
        <f>Source!AV28</f>
        <v>1</v>
      </c>
      <c r="I21" s="9">
        <f>IF(Source!BB28&lt;&gt; 0, Source!BB28, 1)</f>
        <v>1</v>
      </c>
      <c r="J21" s="20">
        <f>Source!Q28</f>
        <v>8534</v>
      </c>
      <c r="K21" s="20"/>
    </row>
    <row r="22" spans="1:22" ht="14.25" x14ac:dyDescent="0.2">
      <c r="A22" s="15"/>
      <c r="B22" s="16"/>
      <c r="C22" s="16" t="s">
        <v>362</v>
      </c>
      <c r="D22" s="17"/>
      <c r="E22" s="9"/>
      <c r="F22" s="19">
        <f>Source!AN28</f>
        <v>12376.07</v>
      </c>
      <c r="G22" s="18" t="str">
        <f>Source!DF28</f>
        <v/>
      </c>
      <c r="H22" s="9">
        <f>Source!AV28</f>
        <v>1</v>
      </c>
      <c r="I22" s="9">
        <f>IF(Source!BS28&lt;&gt; 0, Source!BS28, 1)</f>
        <v>1</v>
      </c>
      <c r="J22" s="22">
        <f>Source!R28</f>
        <v>4517.2700000000004</v>
      </c>
      <c r="K22" s="20"/>
    </row>
    <row r="23" spans="1:22" ht="14.25" x14ac:dyDescent="0.2">
      <c r="A23" s="15"/>
      <c r="B23" s="16"/>
      <c r="C23" s="16" t="s">
        <v>363</v>
      </c>
      <c r="D23" s="17" t="s">
        <v>364</v>
      </c>
      <c r="E23" s="9">
        <f>Source!AT28</f>
        <v>70</v>
      </c>
      <c r="F23" s="19"/>
      <c r="G23" s="18"/>
      <c r="H23" s="9"/>
      <c r="I23" s="9"/>
      <c r="J23" s="20">
        <f>SUM(R18:R22)</f>
        <v>6396.59</v>
      </c>
      <c r="K23" s="20"/>
    </row>
    <row r="24" spans="1:22" ht="14.25" x14ac:dyDescent="0.2">
      <c r="A24" s="15"/>
      <c r="B24" s="16"/>
      <c r="C24" s="16" t="s">
        <v>365</v>
      </c>
      <c r="D24" s="17" t="s">
        <v>364</v>
      </c>
      <c r="E24" s="9">
        <f>Source!AU28</f>
        <v>10</v>
      </c>
      <c r="F24" s="19"/>
      <c r="G24" s="18"/>
      <c r="H24" s="9"/>
      <c r="I24" s="9"/>
      <c r="J24" s="20">
        <f>SUM(T18:T23)</f>
        <v>913.8</v>
      </c>
      <c r="K24" s="20"/>
    </row>
    <row r="25" spans="1:22" ht="14.25" x14ac:dyDescent="0.2">
      <c r="A25" s="15"/>
      <c r="B25" s="16"/>
      <c r="C25" s="16" t="s">
        <v>366</v>
      </c>
      <c r="D25" s="17" t="s">
        <v>364</v>
      </c>
      <c r="E25" s="9">
        <f>108</f>
        <v>108</v>
      </c>
      <c r="F25" s="19"/>
      <c r="G25" s="18"/>
      <c r="H25" s="9"/>
      <c r="I25" s="9"/>
      <c r="J25" s="20">
        <f>SUM(V18:V24)</f>
        <v>4878.6499999999996</v>
      </c>
      <c r="K25" s="20"/>
    </row>
    <row r="26" spans="1:22" ht="14.25" x14ac:dyDescent="0.2">
      <c r="A26" s="15"/>
      <c r="B26" s="16"/>
      <c r="C26" s="16" t="s">
        <v>367</v>
      </c>
      <c r="D26" s="17" t="s">
        <v>368</v>
      </c>
      <c r="E26" s="9">
        <f>Source!AQ28</f>
        <v>155</v>
      </c>
      <c r="F26" s="19"/>
      <c r="G26" s="18" t="str">
        <f>Source!DI28</f>
        <v/>
      </c>
      <c r="H26" s="9">
        <f>Source!AV28</f>
        <v>1</v>
      </c>
      <c r="I26" s="9"/>
      <c r="J26" s="20"/>
      <c r="K26" s="20">
        <f>Source!U28</f>
        <v>56.574999999999996</v>
      </c>
    </row>
    <row r="27" spans="1:22" ht="15" x14ac:dyDescent="0.25">
      <c r="A27" s="25"/>
      <c r="B27" s="25"/>
      <c r="C27" s="25"/>
      <c r="D27" s="25"/>
      <c r="E27" s="25"/>
      <c r="F27" s="25"/>
      <c r="G27" s="25"/>
      <c r="H27" s="25"/>
      <c r="I27" s="45">
        <f>J20+J21+J23+J24+J25</f>
        <v>29861.03</v>
      </c>
      <c r="J27" s="45"/>
      <c r="K27" s="26">
        <f>IF(Source!I28&lt;&gt;0, ROUND(I27/Source!I28, 2), 0)</f>
        <v>81811.039999999994</v>
      </c>
      <c r="P27" s="23">
        <f>I27</f>
        <v>29861.03</v>
      </c>
    </row>
    <row r="28" spans="1:22" ht="28.5" x14ac:dyDescent="0.2">
      <c r="A28" s="15" t="str">
        <f>Source!E29</f>
        <v>2</v>
      </c>
      <c r="B28" s="16" t="str">
        <f>Source!F29</f>
        <v>2.1-3104-1-2/1</v>
      </c>
      <c r="C28" s="16" t="str">
        <f>Source!G29</f>
        <v>Разборка покрытий и оснований щебеночных</v>
      </c>
      <c r="D28" s="17" t="str">
        <f>Source!H29</f>
        <v>100 м3</v>
      </c>
      <c r="E28" s="9">
        <f>Source!I29</f>
        <v>1.825</v>
      </c>
      <c r="F28" s="19"/>
      <c r="G28" s="18"/>
      <c r="H28" s="9"/>
      <c r="I28" s="9"/>
      <c r="J28" s="20"/>
      <c r="K28" s="20"/>
      <c r="Q28">
        <f>ROUND((Source!BZ29/100)*ROUND((Source!AF29*Source!AV29)*Source!I29, 2), 2)</f>
        <v>1596.47</v>
      </c>
      <c r="R28">
        <f>Source!X29</f>
        <v>1596.47</v>
      </c>
      <c r="S28">
        <f>ROUND((Source!CA29/100)*ROUND((Source!AF29*Source!AV29)*Source!I29, 2), 2)</f>
        <v>228.07</v>
      </c>
      <c r="T28">
        <f>Source!Y29</f>
        <v>228.07</v>
      </c>
      <c r="U28">
        <f>ROUND((175/100)*ROUND((Source!AE29*Source!AV29)*Source!I29, 2), 2)</f>
        <v>4166.38</v>
      </c>
      <c r="V28">
        <f>ROUND((108/100)*ROUND(Source!CS29*Source!I29, 2), 2)</f>
        <v>2571.25</v>
      </c>
    </row>
    <row r="29" spans="1:22" x14ac:dyDescent="0.2">
      <c r="C29" s="21" t="str">
        <f>"Объем: "&amp;Source!I29&amp;"=730*"&amp;"0,25/"&amp;"100"</f>
        <v>Объем: 1,825=730*0,25/100</v>
      </c>
    </row>
    <row r="30" spans="1:22" ht="14.25" x14ac:dyDescent="0.2">
      <c r="A30" s="15"/>
      <c r="B30" s="16"/>
      <c r="C30" s="16" t="s">
        <v>360</v>
      </c>
      <c r="D30" s="17"/>
      <c r="E30" s="9"/>
      <c r="F30" s="19">
        <f>Source!AO29</f>
        <v>1249.68</v>
      </c>
      <c r="G30" s="18" t="str">
        <f>Source!DG29</f>
        <v/>
      </c>
      <c r="H30" s="9">
        <f>Source!AV29</f>
        <v>1</v>
      </c>
      <c r="I30" s="9">
        <f>IF(Source!BA29&lt;&gt; 0, Source!BA29, 1)</f>
        <v>1</v>
      </c>
      <c r="J30" s="20">
        <f>Source!S29</f>
        <v>2280.67</v>
      </c>
      <c r="K30" s="20"/>
    </row>
    <row r="31" spans="1:22" ht="14.25" x14ac:dyDescent="0.2">
      <c r="A31" s="15"/>
      <c r="B31" s="16"/>
      <c r="C31" s="16" t="s">
        <v>361</v>
      </c>
      <c r="D31" s="17"/>
      <c r="E31" s="9"/>
      <c r="F31" s="19">
        <f>Source!AM29</f>
        <v>3122.35</v>
      </c>
      <c r="G31" s="18" t="str">
        <f>Source!DE29</f>
        <v/>
      </c>
      <c r="H31" s="9">
        <f>Source!AV29</f>
        <v>1</v>
      </c>
      <c r="I31" s="9">
        <f>IF(Source!BB29&lt;&gt; 0, Source!BB29, 1)</f>
        <v>1</v>
      </c>
      <c r="J31" s="20">
        <f>Source!Q29</f>
        <v>5698.29</v>
      </c>
      <c r="K31" s="20"/>
    </row>
    <row r="32" spans="1:22" ht="14.25" x14ac:dyDescent="0.2">
      <c r="A32" s="15"/>
      <c r="B32" s="16"/>
      <c r="C32" s="16" t="s">
        <v>362</v>
      </c>
      <c r="D32" s="17"/>
      <c r="E32" s="9"/>
      <c r="F32" s="19">
        <f>Source!AN29</f>
        <v>1304.54</v>
      </c>
      <c r="G32" s="18" t="str">
        <f>Source!DF29</f>
        <v/>
      </c>
      <c r="H32" s="9">
        <f>Source!AV29</f>
        <v>1</v>
      </c>
      <c r="I32" s="9">
        <f>IF(Source!BS29&lt;&gt; 0, Source!BS29, 1)</f>
        <v>1</v>
      </c>
      <c r="J32" s="22">
        <f>Source!R29</f>
        <v>2380.79</v>
      </c>
      <c r="K32" s="20"/>
    </row>
    <row r="33" spans="1:22" ht="14.25" x14ac:dyDescent="0.2">
      <c r="A33" s="15"/>
      <c r="B33" s="16"/>
      <c r="C33" s="16" t="s">
        <v>363</v>
      </c>
      <c r="D33" s="17" t="s">
        <v>364</v>
      </c>
      <c r="E33" s="9">
        <f>Source!AT29</f>
        <v>70</v>
      </c>
      <c r="F33" s="19"/>
      <c r="G33" s="18"/>
      <c r="H33" s="9"/>
      <c r="I33" s="9"/>
      <c r="J33" s="20">
        <f>SUM(R28:R32)</f>
        <v>1596.47</v>
      </c>
      <c r="K33" s="20"/>
    </row>
    <row r="34" spans="1:22" ht="14.25" x14ac:dyDescent="0.2">
      <c r="A34" s="15"/>
      <c r="B34" s="16"/>
      <c r="C34" s="16" t="s">
        <v>365</v>
      </c>
      <c r="D34" s="17" t="s">
        <v>364</v>
      </c>
      <c r="E34" s="9">
        <f>Source!AU29</f>
        <v>10</v>
      </c>
      <c r="F34" s="19"/>
      <c r="G34" s="18"/>
      <c r="H34" s="9"/>
      <c r="I34" s="9"/>
      <c r="J34" s="20">
        <f>SUM(T28:T33)</f>
        <v>228.07</v>
      </c>
      <c r="K34" s="20"/>
    </row>
    <row r="35" spans="1:22" ht="14.25" x14ac:dyDescent="0.2">
      <c r="A35" s="15"/>
      <c r="B35" s="16"/>
      <c r="C35" s="16" t="s">
        <v>366</v>
      </c>
      <c r="D35" s="17" t="s">
        <v>364</v>
      </c>
      <c r="E35" s="9">
        <f>108</f>
        <v>108</v>
      </c>
      <c r="F35" s="19"/>
      <c r="G35" s="18"/>
      <c r="H35" s="9"/>
      <c r="I35" s="9"/>
      <c r="J35" s="20">
        <f>SUM(V28:V34)</f>
        <v>2571.25</v>
      </c>
      <c r="K35" s="20"/>
    </row>
    <row r="36" spans="1:22" ht="14.25" x14ac:dyDescent="0.2">
      <c r="A36" s="15"/>
      <c r="B36" s="16"/>
      <c r="C36" s="16" t="s">
        <v>367</v>
      </c>
      <c r="D36" s="17" t="s">
        <v>368</v>
      </c>
      <c r="E36" s="9">
        <f>Source!AQ29</f>
        <v>11.7</v>
      </c>
      <c r="F36" s="19"/>
      <c r="G36" s="18" t="str">
        <f>Source!DI29</f>
        <v/>
      </c>
      <c r="H36" s="9">
        <f>Source!AV29</f>
        <v>1</v>
      </c>
      <c r="I36" s="9"/>
      <c r="J36" s="20"/>
      <c r="K36" s="20">
        <f>Source!U29</f>
        <v>21.352499999999999</v>
      </c>
    </row>
    <row r="37" spans="1:22" ht="15" x14ac:dyDescent="0.25">
      <c r="A37" s="25"/>
      <c r="B37" s="25"/>
      <c r="C37" s="25"/>
      <c r="D37" s="25"/>
      <c r="E37" s="25"/>
      <c r="F37" s="25"/>
      <c r="G37" s="25"/>
      <c r="H37" s="25"/>
      <c r="I37" s="45">
        <f>J30+J31+J33+J34+J35</f>
        <v>12374.75</v>
      </c>
      <c r="J37" s="45"/>
      <c r="K37" s="26">
        <f>IF(Source!I29&lt;&gt;0, ROUND(I37/Source!I29, 2), 0)</f>
        <v>6780.68</v>
      </c>
      <c r="P37" s="23">
        <f>I37</f>
        <v>12374.75</v>
      </c>
    </row>
    <row r="38" spans="1:22" ht="42.75" x14ac:dyDescent="0.2">
      <c r="A38" s="15" t="str">
        <f>Source!E30</f>
        <v>3</v>
      </c>
      <c r="B38" s="16" t="str">
        <f>Source!F30</f>
        <v>1.49-9101-7-1/1</v>
      </c>
      <c r="C38" s="16" t="str">
        <f>Source!G30</f>
        <v>Механизированная погрузка строительного мусора в автомобили-самосвалы</v>
      </c>
      <c r="D38" s="17" t="str">
        <f>Source!H30</f>
        <v>т</v>
      </c>
      <c r="E38" s="9">
        <f>Source!I30</f>
        <v>157.26863</v>
      </c>
      <c r="F38" s="19"/>
      <c r="G38" s="18"/>
      <c r="H38" s="9"/>
      <c r="I38" s="9"/>
      <c r="J38" s="20"/>
      <c r="K38" s="20"/>
      <c r="Q38">
        <f>ROUND((Source!BZ30/100)*ROUND((Source!AF30*Source!AV30)*Source!I30, 2), 2)</f>
        <v>0</v>
      </c>
      <c r="R38">
        <f>Source!X30</f>
        <v>0</v>
      </c>
      <c r="S38">
        <f>ROUND((Source!CA30/100)*ROUND((Source!AF30*Source!AV30)*Source!I30, 2), 2)</f>
        <v>0</v>
      </c>
      <c r="T38">
        <f>Source!Y30</f>
        <v>0</v>
      </c>
      <c r="U38">
        <f>ROUND((175/100)*ROUND((Source!AE30*Source!AV30)*Source!I30, 2), 2)</f>
        <v>7703.41</v>
      </c>
      <c r="V38">
        <f>ROUND((108/100)*ROUND(Source!CS30*Source!I30, 2), 2)</f>
        <v>4754.1099999999997</v>
      </c>
    </row>
    <row r="39" spans="1:22" ht="14.25" x14ac:dyDescent="0.2">
      <c r="A39" s="15"/>
      <c r="B39" s="16"/>
      <c r="C39" s="16" t="s">
        <v>361</v>
      </c>
      <c r="D39" s="17"/>
      <c r="E39" s="9"/>
      <c r="F39" s="19">
        <f>Source!AM30</f>
        <v>69.599999999999994</v>
      </c>
      <c r="G39" s="18" t="str">
        <f>Source!DE30</f>
        <v/>
      </c>
      <c r="H39" s="9">
        <f>Source!AV30</f>
        <v>1</v>
      </c>
      <c r="I39" s="9">
        <f>IF(Source!BB30&lt;&gt; 0, Source!BB30, 1)</f>
        <v>1</v>
      </c>
      <c r="J39" s="20">
        <f>Source!Q30</f>
        <v>10945.9</v>
      </c>
      <c r="K39" s="20"/>
    </row>
    <row r="40" spans="1:22" ht="14.25" x14ac:dyDescent="0.2">
      <c r="A40" s="15"/>
      <c r="B40" s="16"/>
      <c r="C40" s="16" t="s">
        <v>362</v>
      </c>
      <c r="D40" s="17"/>
      <c r="E40" s="9"/>
      <c r="F40" s="19">
        <f>Source!AN30</f>
        <v>27.99</v>
      </c>
      <c r="G40" s="18" t="str">
        <f>Source!DF30</f>
        <v/>
      </c>
      <c r="H40" s="9">
        <f>Source!AV30</f>
        <v>1</v>
      </c>
      <c r="I40" s="9">
        <f>IF(Source!BS30&lt;&gt; 0, Source!BS30, 1)</f>
        <v>1</v>
      </c>
      <c r="J40" s="22">
        <f>Source!R30</f>
        <v>4401.95</v>
      </c>
      <c r="K40" s="20"/>
    </row>
    <row r="41" spans="1:22" ht="14.25" x14ac:dyDescent="0.2">
      <c r="A41" s="15"/>
      <c r="B41" s="16"/>
      <c r="C41" s="16" t="s">
        <v>366</v>
      </c>
      <c r="D41" s="17" t="s">
        <v>364</v>
      </c>
      <c r="E41" s="9">
        <f>108</f>
        <v>108</v>
      </c>
      <c r="F41" s="19"/>
      <c r="G41" s="18"/>
      <c r="H41" s="9"/>
      <c r="I41" s="9"/>
      <c r="J41" s="20">
        <f>SUM(V38:V40)</f>
        <v>4754.1099999999997</v>
      </c>
      <c r="K41" s="20"/>
    </row>
    <row r="42" spans="1:22" ht="15" x14ac:dyDescent="0.25">
      <c r="A42" s="25"/>
      <c r="B42" s="25"/>
      <c r="C42" s="25"/>
      <c r="D42" s="25"/>
      <c r="E42" s="25"/>
      <c r="F42" s="25"/>
      <c r="G42" s="25"/>
      <c r="H42" s="25"/>
      <c r="I42" s="45">
        <f>J39+J41</f>
        <v>15700.009999999998</v>
      </c>
      <c r="J42" s="45"/>
      <c r="K42" s="26">
        <f>IF(Source!I30&lt;&gt;0, ROUND(I42/Source!I30, 2), 0)</f>
        <v>99.83</v>
      </c>
      <c r="P42" s="23">
        <f>I42</f>
        <v>15700.009999999998</v>
      </c>
    </row>
    <row r="43" spans="1:22" ht="57" x14ac:dyDescent="0.2">
      <c r="A43" s="15" t="str">
        <f>Source!E31</f>
        <v>4</v>
      </c>
      <c r="B43" s="16" t="str">
        <f>Source!F31</f>
        <v>1.49-9201-1-2/1</v>
      </c>
      <c r="C43" s="16" t="str">
        <f>Source!G31</f>
        <v>Перевозка строительного мусора автосамосвалами грузоподъемностью до 10 т на расстояние 1 км - при механизированной погрузке</v>
      </c>
      <c r="D43" s="17" t="str">
        <f>Source!H31</f>
        <v>т</v>
      </c>
      <c r="E43" s="9">
        <f>Source!I31</f>
        <v>157.26863</v>
      </c>
      <c r="F43" s="19"/>
      <c r="G43" s="18"/>
      <c r="H43" s="9"/>
      <c r="I43" s="9"/>
      <c r="J43" s="20"/>
      <c r="K43" s="20"/>
      <c r="Q43">
        <f>ROUND((Source!BZ31/100)*ROUND((Source!AF31*Source!AV31)*Source!I31, 2), 2)</f>
        <v>0</v>
      </c>
      <c r="R43">
        <f>Source!X31</f>
        <v>0</v>
      </c>
      <c r="S43">
        <f>ROUND((Source!CA31/100)*ROUND((Source!AF31*Source!AV31)*Source!I31, 2), 2)</f>
        <v>0</v>
      </c>
      <c r="T43">
        <f>Source!Y31</f>
        <v>0</v>
      </c>
      <c r="U43">
        <f>ROUND((175/100)*ROUND((Source!AE31*Source!AV31)*Source!I31, 2), 2)</f>
        <v>13119.75</v>
      </c>
      <c r="V43">
        <f>ROUND((108/100)*ROUND(Source!CS31*Source!I31, 2), 2)</f>
        <v>8096.76</v>
      </c>
    </row>
    <row r="44" spans="1:22" ht="14.25" x14ac:dyDescent="0.2">
      <c r="A44" s="15"/>
      <c r="B44" s="16"/>
      <c r="C44" s="16" t="s">
        <v>361</v>
      </c>
      <c r="D44" s="17"/>
      <c r="E44" s="9"/>
      <c r="F44" s="19">
        <f>Source!AM31</f>
        <v>63.51</v>
      </c>
      <c r="G44" s="18" t="str">
        <f>Source!DE31</f>
        <v/>
      </c>
      <c r="H44" s="9">
        <f>Source!AV31</f>
        <v>1</v>
      </c>
      <c r="I44" s="9">
        <f>IF(Source!BB31&lt;&gt; 0, Source!BB31, 1)</f>
        <v>1</v>
      </c>
      <c r="J44" s="20">
        <f>Source!Q31</f>
        <v>9988.1299999999992</v>
      </c>
      <c r="K44" s="20"/>
    </row>
    <row r="45" spans="1:22" ht="14.25" x14ac:dyDescent="0.2">
      <c r="A45" s="15"/>
      <c r="B45" s="16"/>
      <c r="C45" s="16" t="s">
        <v>362</v>
      </c>
      <c r="D45" s="17"/>
      <c r="E45" s="9"/>
      <c r="F45" s="19">
        <f>Source!AN31</f>
        <v>47.67</v>
      </c>
      <c r="G45" s="18" t="str">
        <f>Source!DF31</f>
        <v/>
      </c>
      <c r="H45" s="9">
        <f>Source!AV31</f>
        <v>1</v>
      </c>
      <c r="I45" s="9">
        <f>IF(Source!BS31&lt;&gt; 0, Source!BS31, 1)</f>
        <v>1</v>
      </c>
      <c r="J45" s="22">
        <f>Source!R31</f>
        <v>7497</v>
      </c>
      <c r="K45" s="20"/>
    </row>
    <row r="46" spans="1:22" ht="15" x14ac:dyDescent="0.25">
      <c r="A46" s="25"/>
      <c r="B46" s="25"/>
      <c r="C46" s="25"/>
      <c r="D46" s="25"/>
      <c r="E46" s="25"/>
      <c r="F46" s="25"/>
      <c r="G46" s="25"/>
      <c r="H46" s="25"/>
      <c r="I46" s="45">
        <f>J44</f>
        <v>9988.1299999999992</v>
      </c>
      <c r="J46" s="45"/>
      <c r="K46" s="26">
        <f>IF(Source!I31&lt;&gt;0, ROUND(I46/Source!I31, 2), 0)</f>
        <v>63.51</v>
      </c>
      <c r="P46" s="23">
        <f>I46</f>
        <v>9988.1299999999992</v>
      </c>
    </row>
    <row r="47" spans="1:22" ht="57" x14ac:dyDescent="0.2">
      <c r="A47" s="15" t="str">
        <f>Source!E32</f>
        <v>5</v>
      </c>
      <c r="B47" s="16" t="str">
        <f>Source!F32</f>
        <v>1.49-9201-1-3/1</v>
      </c>
      <c r="C47" s="16" t="str">
        <f>Source!G32</f>
        <v>Перевозка строительного мусора автосамосвалами грузоподъемностью до 10 т - добавляется на каждый последующий 1 км до 100 км</v>
      </c>
      <c r="D47" s="17" t="str">
        <f>Source!H32</f>
        <v>т</v>
      </c>
      <c r="E47" s="9">
        <f>Source!I32</f>
        <v>157.26863</v>
      </c>
      <c r="F47" s="19"/>
      <c r="G47" s="18"/>
      <c r="H47" s="9"/>
      <c r="I47" s="9"/>
      <c r="J47" s="20"/>
      <c r="K47" s="20"/>
      <c r="Q47">
        <f>ROUND((Source!BZ32/100)*ROUND((Source!AF32*Source!AV32)*Source!I32, 2), 2)</f>
        <v>0</v>
      </c>
      <c r="R47">
        <f>Source!X32</f>
        <v>0</v>
      </c>
      <c r="S47">
        <f>ROUND((Source!CA32/100)*ROUND((Source!AF32*Source!AV32)*Source!I32, 2), 2)</f>
        <v>0</v>
      </c>
      <c r="T47">
        <f>Source!Y32</f>
        <v>0</v>
      </c>
      <c r="U47">
        <f>ROUND((175/100)*ROUND((Source!AE32*Source!AV32)*Source!I32, 2), 2)</f>
        <v>154742.51</v>
      </c>
      <c r="V47">
        <f>ROUND((108/100)*ROUND(Source!CS32*Source!I32, 2), 2)</f>
        <v>95498.23</v>
      </c>
    </row>
    <row r="48" spans="1:22" ht="14.25" x14ac:dyDescent="0.2">
      <c r="A48" s="15"/>
      <c r="B48" s="16"/>
      <c r="C48" s="16" t="s">
        <v>361</v>
      </c>
      <c r="D48" s="17"/>
      <c r="E48" s="9"/>
      <c r="F48" s="19">
        <f>Source!AM32</f>
        <v>29.94</v>
      </c>
      <c r="G48" s="18" t="str">
        <f>Source!DE32</f>
        <v>*25</v>
      </c>
      <c r="H48" s="9">
        <f>Source!AV32</f>
        <v>1</v>
      </c>
      <c r="I48" s="9">
        <f>IF(Source!BB32&lt;&gt; 0, Source!BB32, 1)</f>
        <v>1</v>
      </c>
      <c r="J48" s="20">
        <f>Source!Q32</f>
        <v>117715.57</v>
      </c>
      <c r="K48" s="20"/>
    </row>
    <row r="49" spans="1:22" ht="14.25" x14ac:dyDescent="0.2">
      <c r="A49" s="15"/>
      <c r="B49" s="16"/>
      <c r="C49" s="16" t="s">
        <v>362</v>
      </c>
      <c r="D49" s="17"/>
      <c r="E49" s="9"/>
      <c r="F49" s="19">
        <f>Source!AN32</f>
        <v>22.49</v>
      </c>
      <c r="G49" s="18" t="str">
        <f>Source!DF32</f>
        <v>*25</v>
      </c>
      <c r="H49" s="9">
        <f>Source!AV32</f>
        <v>1</v>
      </c>
      <c r="I49" s="9">
        <f>IF(Source!BS32&lt;&gt; 0, Source!BS32, 1)</f>
        <v>1</v>
      </c>
      <c r="J49" s="22">
        <f>Source!R32</f>
        <v>88424.29</v>
      </c>
      <c r="K49" s="20"/>
    </row>
    <row r="50" spans="1:22" ht="15" x14ac:dyDescent="0.25">
      <c r="A50" s="25"/>
      <c r="B50" s="25"/>
      <c r="C50" s="25"/>
      <c r="D50" s="25"/>
      <c r="E50" s="25"/>
      <c r="F50" s="25"/>
      <c r="G50" s="25"/>
      <c r="H50" s="25"/>
      <c r="I50" s="45">
        <f>J48</f>
        <v>117715.57</v>
      </c>
      <c r="J50" s="45"/>
      <c r="K50" s="26">
        <f>IF(Source!I32&lt;&gt;0, ROUND(I50/Source!I32, 2), 0)</f>
        <v>748.5</v>
      </c>
      <c r="P50" s="23">
        <f>I50</f>
        <v>117715.57</v>
      </c>
    </row>
    <row r="51" spans="1:22" ht="42.75" x14ac:dyDescent="0.2">
      <c r="A51" s="15" t="str">
        <f>Source!E33</f>
        <v>6</v>
      </c>
      <c r="B51" s="16" t="str">
        <f>Source!F33</f>
        <v>2.1-3303-1-1/1</v>
      </c>
      <c r="C51" s="16" t="str">
        <f>Source!G33</f>
        <v>Устройство подстилающих и выравнивающих слоев оснований из песка</v>
      </c>
      <c r="D51" s="17" t="str">
        <f>Source!H33</f>
        <v>100 м3</v>
      </c>
      <c r="E51" s="9">
        <f>Source!I33</f>
        <v>0.73</v>
      </c>
      <c r="F51" s="19"/>
      <c r="G51" s="18"/>
      <c r="H51" s="9"/>
      <c r="I51" s="9"/>
      <c r="J51" s="20"/>
      <c r="K51" s="20"/>
      <c r="Q51">
        <f>ROUND((Source!BZ33/100)*ROUND((Source!AF33*Source!AV33)*Source!I33, 2), 2)</f>
        <v>1306.98</v>
      </c>
      <c r="R51">
        <f>Source!X33</f>
        <v>1306.98</v>
      </c>
      <c r="S51">
        <f>ROUND((Source!CA33/100)*ROUND((Source!AF33*Source!AV33)*Source!I33, 2), 2)</f>
        <v>186.71</v>
      </c>
      <c r="T51">
        <f>Source!Y33</f>
        <v>186.71</v>
      </c>
      <c r="U51">
        <f>ROUND((175/100)*ROUND((Source!AE33*Source!AV33)*Source!I33, 2), 2)</f>
        <v>3410.47</v>
      </c>
      <c r="V51">
        <f>ROUND((108/100)*ROUND(Source!CS33*Source!I33, 2), 2)</f>
        <v>2104.75</v>
      </c>
    </row>
    <row r="52" spans="1:22" x14ac:dyDescent="0.2">
      <c r="C52" s="21" t="str">
        <f>"Объем: "&amp;Source!I33&amp;"=730*"&amp;"0,1/"&amp;"100"</f>
        <v>Объем: 0,73=730*0,1/100</v>
      </c>
    </row>
    <row r="53" spans="1:22" ht="14.25" x14ac:dyDescent="0.2">
      <c r="A53" s="15"/>
      <c r="B53" s="16"/>
      <c r="C53" s="16" t="s">
        <v>360</v>
      </c>
      <c r="D53" s="17"/>
      <c r="E53" s="9"/>
      <c r="F53" s="19">
        <f>Source!AO33</f>
        <v>2557.69</v>
      </c>
      <c r="G53" s="18" t="str">
        <f>Source!DG33</f>
        <v/>
      </c>
      <c r="H53" s="9">
        <f>Source!AV33</f>
        <v>1</v>
      </c>
      <c r="I53" s="9">
        <f>IF(Source!BA33&lt;&gt; 0, Source!BA33, 1)</f>
        <v>1</v>
      </c>
      <c r="J53" s="20">
        <f>Source!S33</f>
        <v>1867.11</v>
      </c>
      <c r="K53" s="20"/>
    </row>
    <row r="54" spans="1:22" ht="14.25" x14ac:dyDescent="0.2">
      <c r="A54" s="15"/>
      <c r="B54" s="16"/>
      <c r="C54" s="16" t="s">
        <v>361</v>
      </c>
      <c r="D54" s="17"/>
      <c r="E54" s="9"/>
      <c r="F54" s="19">
        <f>Source!AM33</f>
        <v>7173.55</v>
      </c>
      <c r="G54" s="18" t="str">
        <f>Source!DE33</f>
        <v/>
      </c>
      <c r="H54" s="9">
        <f>Source!AV33</f>
        <v>1</v>
      </c>
      <c r="I54" s="9">
        <f>IF(Source!BB33&lt;&gt; 0, Source!BB33, 1)</f>
        <v>1</v>
      </c>
      <c r="J54" s="20">
        <f>Source!Q33</f>
        <v>5236.6899999999996</v>
      </c>
      <c r="K54" s="20"/>
    </row>
    <row r="55" spans="1:22" ht="14.25" x14ac:dyDescent="0.2">
      <c r="A55" s="15"/>
      <c r="B55" s="16"/>
      <c r="C55" s="16" t="s">
        <v>362</v>
      </c>
      <c r="D55" s="17"/>
      <c r="E55" s="9"/>
      <c r="F55" s="19">
        <f>Source!AN33</f>
        <v>2669.64</v>
      </c>
      <c r="G55" s="18" t="str">
        <f>Source!DF33</f>
        <v/>
      </c>
      <c r="H55" s="9">
        <f>Source!AV33</f>
        <v>1</v>
      </c>
      <c r="I55" s="9">
        <f>IF(Source!BS33&lt;&gt; 0, Source!BS33, 1)</f>
        <v>1</v>
      </c>
      <c r="J55" s="22">
        <f>Source!R33</f>
        <v>1948.84</v>
      </c>
      <c r="K55" s="20"/>
    </row>
    <row r="56" spans="1:22" ht="14.25" x14ac:dyDescent="0.2">
      <c r="A56" s="15"/>
      <c r="B56" s="16"/>
      <c r="C56" s="16" t="s">
        <v>369</v>
      </c>
      <c r="D56" s="17"/>
      <c r="E56" s="9"/>
      <c r="F56" s="19">
        <f>Source!AL33</f>
        <v>61659.15</v>
      </c>
      <c r="G56" s="18" t="str">
        <f>Source!DD33</f>
        <v/>
      </c>
      <c r="H56" s="9">
        <f>Source!AW33</f>
        <v>1</v>
      </c>
      <c r="I56" s="9">
        <f>IF(Source!BC33&lt;&gt; 0, Source!BC33, 1)</f>
        <v>1</v>
      </c>
      <c r="J56" s="20">
        <f>Source!P33</f>
        <v>45011.18</v>
      </c>
      <c r="K56" s="20"/>
    </row>
    <row r="57" spans="1:22" ht="14.25" x14ac:dyDescent="0.2">
      <c r="A57" s="15"/>
      <c r="B57" s="16"/>
      <c r="C57" s="16" t="s">
        <v>363</v>
      </c>
      <c r="D57" s="17" t="s">
        <v>364</v>
      </c>
      <c r="E57" s="9">
        <f>Source!AT33</f>
        <v>70</v>
      </c>
      <c r="F57" s="19"/>
      <c r="G57" s="18"/>
      <c r="H57" s="9"/>
      <c r="I57" s="9"/>
      <c r="J57" s="20">
        <f>SUM(R51:R56)</f>
        <v>1306.98</v>
      </c>
      <c r="K57" s="20"/>
    </row>
    <row r="58" spans="1:22" ht="14.25" x14ac:dyDescent="0.2">
      <c r="A58" s="15"/>
      <c r="B58" s="16"/>
      <c r="C58" s="16" t="s">
        <v>365</v>
      </c>
      <c r="D58" s="17" t="s">
        <v>364</v>
      </c>
      <c r="E58" s="9">
        <f>Source!AU33</f>
        <v>10</v>
      </c>
      <c r="F58" s="19"/>
      <c r="G58" s="18"/>
      <c r="H58" s="9"/>
      <c r="I58" s="9"/>
      <c r="J58" s="20">
        <f>SUM(T51:T57)</f>
        <v>186.71</v>
      </c>
      <c r="K58" s="20"/>
    </row>
    <row r="59" spans="1:22" ht="14.25" x14ac:dyDescent="0.2">
      <c r="A59" s="15"/>
      <c r="B59" s="16"/>
      <c r="C59" s="16" t="s">
        <v>366</v>
      </c>
      <c r="D59" s="17" t="s">
        <v>364</v>
      </c>
      <c r="E59" s="9">
        <f>108</f>
        <v>108</v>
      </c>
      <c r="F59" s="19"/>
      <c r="G59" s="18"/>
      <c r="H59" s="9"/>
      <c r="I59" s="9"/>
      <c r="J59" s="20">
        <f>SUM(V51:V58)</f>
        <v>2104.75</v>
      </c>
      <c r="K59" s="20"/>
    </row>
    <row r="60" spans="1:22" ht="14.25" x14ac:dyDescent="0.2">
      <c r="A60" s="15"/>
      <c r="B60" s="16"/>
      <c r="C60" s="16" t="s">
        <v>367</v>
      </c>
      <c r="D60" s="17" t="s">
        <v>368</v>
      </c>
      <c r="E60" s="9">
        <f>Source!AQ33</f>
        <v>16.559999999999999</v>
      </c>
      <c r="F60" s="19"/>
      <c r="G60" s="18" t="str">
        <f>Source!DI33</f>
        <v/>
      </c>
      <c r="H60" s="9">
        <f>Source!AV33</f>
        <v>1</v>
      </c>
      <c r="I60" s="9"/>
      <c r="J60" s="20"/>
      <c r="K60" s="20">
        <f>Source!U33</f>
        <v>12.088799999999999</v>
      </c>
    </row>
    <row r="61" spans="1:22" ht="15" x14ac:dyDescent="0.25">
      <c r="A61" s="25"/>
      <c r="B61" s="25"/>
      <c r="C61" s="25"/>
      <c r="D61" s="25"/>
      <c r="E61" s="25"/>
      <c r="F61" s="25"/>
      <c r="G61" s="25"/>
      <c r="H61" s="25"/>
      <c r="I61" s="45">
        <f>J53+J54+J56+J57+J58+J59</f>
        <v>55713.42</v>
      </c>
      <c r="J61" s="45"/>
      <c r="K61" s="26">
        <f>IF(Source!I33&lt;&gt;0, ROUND(I61/Source!I33, 2), 0)</f>
        <v>76319.75</v>
      </c>
      <c r="P61" s="23">
        <f>I61</f>
        <v>55713.42</v>
      </c>
    </row>
    <row r="62" spans="1:22" ht="42.75" x14ac:dyDescent="0.2">
      <c r="A62" s="15" t="str">
        <f>Source!E34</f>
        <v>7</v>
      </c>
      <c r="B62" s="16" t="str">
        <f>Source!F34</f>
        <v>2.1-3303-1-2/1</v>
      </c>
      <c r="C62" s="16" t="str">
        <f>Source!G34</f>
        <v>Устройство подстилающих и выравнивающих слоев оснований из щебня</v>
      </c>
      <c r="D62" s="17" t="str">
        <f>Source!H34</f>
        <v>100 м3</v>
      </c>
      <c r="E62" s="9">
        <f>Source!I34</f>
        <v>0.73</v>
      </c>
      <c r="F62" s="19"/>
      <c r="G62" s="18"/>
      <c r="H62" s="9"/>
      <c r="I62" s="9"/>
      <c r="J62" s="20"/>
      <c r="K62" s="20"/>
      <c r="Q62">
        <f>ROUND((Source!BZ34/100)*ROUND((Source!AF34*Source!AV34)*Source!I34, 2), 2)</f>
        <v>1960.47</v>
      </c>
      <c r="R62">
        <f>Source!X34</f>
        <v>1960.47</v>
      </c>
      <c r="S62">
        <f>ROUND((Source!CA34/100)*ROUND((Source!AF34*Source!AV34)*Source!I34, 2), 2)</f>
        <v>280.07</v>
      </c>
      <c r="T62">
        <f>Source!Y34</f>
        <v>280.07</v>
      </c>
      <c r="U62">
        <f>ROUND((175/100)*ROUND((Source!AE34*Source!AV34)*Source!I34, 2), 2)</f>
        <v>20305.060000000001</v>
      </c>
      <c r="V62">
        <f>ROUND((108/100)*ROUND(Source!CS34*Source!I34, 2), 2)</f>
        <v>12531.12</v>
      </c>
    </row>
    <row r="63" spans="1:22" ht="14.25" x14ac:dyDescent="0.2">
      <c r="A63" s="15"/>
      <c r="B63" s="16"/>
      <c r="C63" s="16" t="s">
        <v>360</v>
      </c>
      <c r="D63" s="17"/>
      <c r="E63" s="9"/>
      <c r="F63" s="19">
        <f>Source!AO34</f>
        <v>3836.54</v>
      </c>
      <c r="G63" s="18" t="str">
        <f>Source!DG34</f>
        <v/>
      </c>
      <c r="H63" s="9">
        <f>Source!AV34</f>
        <v>1</v>
      </c>
      <c r="I63" s="9">
        <f>IF(Source!BA34&lt;&gt; 0, Source!BA34, 1)</f>
        <v>1</v>
      </c>
      <c r="J63" s="20">
        <f>Source!S34</f>
        <v>2800.67</v>
      </c>
      <c r="K63" s="20"/>
    </row>
    <row r="64" spans="1:22" ht="14.25" x14ac:dyDescent="0.2">
      <c r="A64" s="15"/>
      <c r="B64" s="16"/>
      <c r="C64" s="16" t="s">
        <v>361</v>
      </c>
      <c r="D64" s="17"/>
      <c r="E64" s="9"/>
      <c r="F64" s="19">
        <f>Source!AM34</f>
        <v>43302.76</v>
      </c>
      <c r="G64" s="18" t="str">
        <f>Source!DE34</f>
        <v/>
      </c>
      <c r="H64" s="9">
        <f>Source!AV34</f>
        <v>1</v>
      </c>
      <c r="I64" s="9">
        <f>IF(Source!BB34&lt;&gt; 0, Source!BB34, 1)</f>
        <v>1</v>
      </c>
      <c r="J64" s="20">
        <f>Source!Q34</f>
        <v>31611.01</v>
      </c>
      <c r="K64" s="20"/>
    </row>
    <row r="65" spans="1:22" ht="14.25" x14ac:dyDescent="0.2">
      <c r="A65" s="15"/>
      <c r="B65" s="16"/>
      <c r="C65" s="16" t="s">
        <v>362</v>
      </c>
      <c r="D65" s="17"/>
      <c r="E65" s="9"/>
      <c r="F65" s="19">
        <f>Source!AN34</f>
        <v>15894.37</v>
      </c>
      <c r="G65" s="18" t="str">
        <f>Source!DF34</f>
        <v/>
      </c>
      <c r="H65" s="9">
        <f>Source!AV34</f>
        <v>1</v>
      </c>
      <c r="I65" s="9">
        <f>IF(Source!BS34&lt;&gt; 0, Source!BS34, 1)</f>
        <v>1</v>
      </c>
      <c r="J65" s="22">
        <f>Source!R34</f>
        <v>11602.89</v>
      </c>
      <c r="K65" s="20"/>
    </row>
    <row r="66" spans="1:22" ht="14.25" x14ac:dyDescent="0.2">
      <c r="A66" s="15"/>
      <c r="B66" s="16"/>
      <c r="C66" s="16" t="s">
        <v>369</v>
      </c>
      <c r="D66" s="17"/>
      <c r="E66" s="9"/>
      <c r="F66" s="19">
        <f>Source!AL34</f>
        <v>240984.87</v>
      </c>
      <c r="G66" s="18" t="str">
        <f>Source!DD34</f>
        <v/>
      </c>
      <c r="H66" s="9">
        <f>Source!AW34</f>
        <v>1</v>
      </c>
      <c r="I66" s="9">
        <f>IF(Source!BC34&lt;&gt; 0, Source!BC34, 1)</f>
        <v>1</v>
      </c>
      <c r="J66" s="20">
        <f>Source!P34</f>
        <v>175918.96</v>
      </c>
      <c r="K66" s="20"/>
    </row>
    <row r="67" spans="1:22" ht="14.25" x14ac:dyDescent="0.2">
      <c r="A67" s="15"/>
      <c r="B67" s="16"/>
      <c r="C67" s="16" t="s">
        <v>363</v>
      </c>
      <c r="D67" s="17" t="s">
        <v>364</v>
      </c>
      <c r="E67" s="9">
        <f>Source!AT34</f>
        <v>70</v>
      </c>
      <c r="F67" s="19"/>
      <c r="G67" s="18"/>
      <c r="H67" s="9"/>
      <c r="I67" s="9"/>
      <c r="J67" s="20">
        <f>SUM(R62:R66)</f>
        <v>1960.47</v>
      </c>
      <c r="K67" s="20"/>
    </row>
    <row r="68" spans="1:22" ht="14.25" x14ac:dyDescent="0.2">
      <c r="A68" s="15"/>
      <c r="B68" s="16"/>
      <c r="C68" s="16" t="s">
        <v>365</v>
      </c>
      <c r="D68" s="17" t="s">
        <v>364</v>
      </c>
      <c r="E68" s="9">
        <f>Source!AU34</f>
        <v>10</v>
      </c>
      <c r="F68" s="19"/>
      <c r="G68" s="18"/>
      <c r="H68" s="9"/>
      <c r="I68" s="9"/>
      <c r="J68" s="20">
        <f>SUM(T62:T67)</f>
        <v>280.07</v>
      </c>
      <c r="K68" s="20"/>
    </row>
    <row r="69" spans="1:22" ht="14.25" x14ac:dyDescent="0.2">
      <c r="A69" s="15"/>
      <c r="B69" s="16"/>
      <c r="C69" s="16" t="s">
        <v>366</v>
      </c>
      <c r="D69" s="17" t="s">
        <v>364</v>
      </c>
      <c r="E69" s="9">
        <f>108</f>
        <v>108</v>
      </c>
      <c r="F69" s="19"/>
      <c r="G69" s="18"/>
      <c r="H69" s="9"/>
      <c r="I69" s="9"/>
      <c r="J69" s="20">
        <f>SUM(V62:V68)</f>
        <v>12531.12</v>
      </c>
      <c r="K69" s="20"/>
    </row>
    <row r="70" spans="1:22" ht="14.25" x14ac:dyDescent="0.2">
      <c r="A70" s="15"/>
      <c r="B70" s="16"/>
      <c r="C70" s="16" t="s">
        <v>367</v>
      </c>
      <c r="D70" s="17" t="s">
        <v>368</v>
      </c>
      <c r="E70" s="9">
        <f>Source!AQ34</f>
        <v>24.84</v>
      </c>
      <c r="F70" s="19"/>
      <c r="G70" s="18" t="str">
        <f>Source!DI34</f>
        <v/>
      </c>
      <c r="H70" s="9">
        <f>Source!AV34</f>
        <v>1</v>
      </c>
      <c r="I70" s="9"/>
      <c r="J70" s="20"/>
      <c r="K70" s="20">
        <f>Source!U34</f>
        <v>18.133199999999999</v>
      </c>
    </row>
    <row r="71" spans="1:22" ht="15" x14ac:dyDescent="0.25">
      <c r="A71" s="25"/>
      <c r="B71" s="25"/>
      <c r="C71" s="25"/>
      <c r="D71" s="25"/>
      <c r="E71" s="25"/>
      <c r="F71" s="25"/>
      <c r="G71" s="25"/>
      <c r="H71" s="25"/>
      <c r="I71" s="45">
        <f>J63+J64+J66+J67+J68+J69</f>
        <v>225102.3</v>
      </c>
      <c r="J71" s="45"/>
      <c r="K71" s="26">
        <f>IF(Source!I34&lt;&gt;0, ROUND(I71/Source!I34, 2), 0)</f>
        <v>308359.32</v>
      </c>
      <c r="P71" s="23">
        <f>I71</f>
        <v>225102.3</v>
      </c>
    </row>
    <row r="72" spans="1:22" ht="42.75" x14ac:dyDescent="0.2">
      <c r="A72" s="15" t="str">
        <f>Source!E35</f>
        <v>8</v>
      </c>
      <c r="B72" s="16" t="str">
        <f>Source!F35</f>
        <v>2.1-3103-18-1/1</v>
      </c>
      <c r="C72" s="16" t="str">
        <f>Source!G35</f>
        <v>Устройство покрытий из асфальтобетонных смесей вручную, толщина 4 см</v>
      </c>
      <c r="D72" s="17" t="str">
        <f>Source!H35</f>
        <v>100 м2</v>
      </c>
      <c r="E72" s="9">
        <f>Source!I35</f>
        <v>7.3</v>
      </c>
      <c r="F72" s="19"/>
      <c r="G72" s="18"/>
      <c r="H72" s="9"/>
      <c r="I72" s="9"/>
      <c r="J72" s="20"/>
      <c r="K72" s="20"/>
      <c r="Q72">
        <f>ROUND((Source!BZ35/100)*ROUND((Source!AF35*Source!AV35)*Source!I35, 2), 2)</f>
        <v>13185.54</v>
      </c>
      <c r="R72">
        <f>Source!X35</f>
        <v>13185.54</v>
      </c>
      <c r="S72">
        <f>ROUND((Source!CA35/100)*ROUND((Source!AF35*Source!AV35)*Source!I35, 2), 2)</f>
        <v>1883.65</v>
      </c>
      <c r="T72">
        <f>Source!Y35</f>
        <v>1883.65</v>
      </c>
      <c r="U72">
        <f>ROUND((175/100)*ROUND((Source!AE35*Source!AV35)*Source!I35, 2), 2)</f>
        <v>9143.4500000000007</v>
      </c>
      <c r="V72">
        <f>ROUND((108/100)*ROUND(Source!CS35*Source!I35, 2), 2)</f>
        <v>5642.82</v>
      </c>
    </row>
    <row r="73" spans="1:22" ht="14.25" x14ac:dyDescent="0.2">
      <c r="A73" s="15"/>
      <c r="B73" s="16"/>
      <c r="C73" s="16" t="s">
        <v>360</v>
      </c>
      <c r="D73" s="17"/>
      <c r="E73" s="9"/>
      <c r="F73" s="19">
        <f>Source!AO35</f>
        <v>2580.34</v>
      </c>
      <c r="G73" s="18" t="str">
        <f>Source!DG35</f>
        <v/>
      </c>
      <c r="H73" s="9">
        <f>Source!AV35</f>
        <v>1</v>
      </c>
      <c r="I73" s="9">
        <f>IF(Source!BA35&lt;&gt; 0, Source!BA35, 1)</f>
        <v>1</v>
      </c>
      <c r="J73" s="20">
        <f>Source!S35</f>
        <v>18836.48</v>
      </c>
      <c r="K73" s="20"/>
    </row>
    <row r="74" spans="1:22" ht="14.25" x14ac:dyDescent="0.2">
      <c r="A74" s="15"/>
      <c r="B74" s="16"/>
      <c r="C74" s="16" t="s">
        <v>361</v>
      </c>
      <c r="D74" s="17"/>
      <c r="E74" s="9"/>
      <c r="F74" s="19">
        <f>Source!AM35</f>
        <v>1235.5</v>
      </c>
      <c r="G74" s="18" t="str">
        <f>Source!DE35</f>
        <v/>
      </c>
      <c r="H74" s="9">
        <f>Source!AV35</f>
        <v>1</v>
      </c>
      <c r="I74" s="9">
        <f>IF(Source!BB35&lt;&gt; 0, Source!BB35, 1)</f>
        <v>1</v>
      </c>
      <c r="J74" s="20">
        <f>Source!Q35</f>
        <v>9019.15</v>
      </c>
      <c r="K74" s="20"/>
    </row>
    <row r="75" spans="1:22" ht="14.25" x14ac:dyDescent="0.2">
      <c r="A75" s="15"/>
      <c r="B75" s="16"/>
      <c r="C75" s="16" t="s">
        <v>362</v>
      </c>
      <c r="D75" s="17"/>
      <c r="E75" s="9"/>
      <c r="F75" s="19">
        <f>Source!AN35</f>
        <v>715.73</v>
      </c>
      <c r="G75" s="18" t="str">
        <f>Source!DF35</f>
        <v/>
      </c>
      <c r="H75" s="9">
        <f>Source!AV35</f>
        <v>1</v>
      </c>
      <c r="I75" s="9">
        <f>IF(Source!BS35&lt;&gt; 0, Source!BS35, 1)</f>
        <v>1</v>
      </c>
      <c r="J75" s="22">
        <f>Source!R35</f>
        <v>5224.83</v>
      </c>
      <c r="K75" s="20"/>
    </row>
    <row r="76" spans="1:22" ht="14.25" x14ac:dyDescent="0.2">
      <c r="A76" s="15"/>
      <c r="B76" s="16"/>
      <c r="C76" s="16" t="s">
        <v>369</v>
      </c>
      <c r="D76" s="17"/>
      <c r="E76" s="9"/>
      <c r="F76" s="19">
        <f>Source!AL35</f>
        <v>22172.43</v>
      </c>
      <c r="G76" s="18" t="str">
        <f>Source!DD35</f>
        <v>/4*5</v>
      </c>
      <c r="H76" s="9">
        <f>Source!AW35</f>
        <v>1</v>
      </c>
      <c r="I76" s="9">
        <f>IF(Source!BC35&lt;&gt; 0, Source!BC35, 1)</f>
        <v>1</v>
      </c>
      <c r="J76" s="20">
        <f>Source!P35</f>
        <v>202323.42</v>
      </c>
      <c r="K76" s="20"/>
    </row>
    <row r="77" spans="1:22" ht="14.25" x14ac:dyDescent="0.2">
      <c r="A77" s="15"/>
      <c r="B77" s="16"/>
      <c r="C77" s="16" t="s">
        <v>363</v>
      </c>
      <c r="D77" s="17" t="s">
        <v>364</v>
      </c>
      <c r="E77" s="9">
        <f>Source!AT35</f>
        <v>70</v>
      </c>
      <c r="F77" s="19"/>
      <c r="G77" s="18"/>
      <c r="H77" s="9"/>
      <c r="I77" s="9"/>
      <c r="J77" s="20">
        <f>SUM(R72:R76)</f>
        <v>13185.54</v>
      </c>
      <c r="K77" s="20"/>
    </row>
    <row r="78" spans="1:22" ht="14.25" x14ac:dyDescent="0.2">
      <c r="A78" s="15"/>
      <c r="B78" s="16"/>
      <c r="C78" s="16" t="s">
        <v>365</v>
      </c>
      <c r="D78" s="17" t="s">
        <v>364</v>
      </c>
      <c r="E78" s="9">
        <f>Source!AU35</f>
        <v>10</v>
      </c>
      <c r="F78" s="19"/>
      <c r="G78" s="18"/>
      <c r="H78" s="9"/>
      <c r="I78" s="9"/>
      <c r="J78" s="20">
        <f>SUM(T72:T77)</f>
        <v>1883.65</v>
      </c>
      <c r="K78" s="20"/>
    </row>
    <row r="79" spans="1:22" ht="14.25" x14ac:dyDescent="0.2">
      <c r="A79" s="15"/>
      <c r="B79" s="16"/>
      <c r="C79" s="16" t="s">
        <v>366</v>
      </c>
      <c r="D79" s="17" t="s">
        <v>364</v>
      </c>
      <c r="E79" s="9">
        <f>108</f>
        <v>108</v>
      </c>
      <c r="F79" s="19"/>
      <c r="G79" s="18"/>
      <c r="H79" s="9"/>
      <c r="I79" s="9"/>
      <c r="J79" s="20">
        <f>SUM(V72:V78)</f>
        <v>5642.82</v>
      </c>
      <c r="K79" s="20"/>
    </row>
    <row r="80" spans="1:22" ht="14.25" x14ac:dyDescent="0.2">
      <c r="A80" s="15"/>
      <c r="B80" s="16"/>
      <c r="C80" s="16" t="s">
        <v>367</v>
      </c>
      <c r="D80" s="17" t="s">
        <v>368</v>
      </c>
      <c r="E80" s="9">
        <f>Source!AQ35</f>
        <v>13.57</v>
      </c>
      <c r="F80" s="19"/>
      <c r="G80" s="18" t="str">
        <f>Source!DI35</f>
        <v/>
      </c>
      <c r="H80" s="9">
        <f>Source!AV35</f>
        <v>1</v>
      </c>
      <c r="I80" s="9"/>
      <c r="J80" s="20"/>
      <c r="K80" s="20">
        <f>Source!U35</f>
        <v>99.060999999999993</v>
      </c>
    </row>
    <row r="81" spans="1:22" ht="15" x14ac:dyDescent="0.25">
      <c r="A81" s="25"/>
      <c r="B81" s="25"/>
      <c r="C81" s="25"/>
      <c r="D81" s="25"/>
      <c r="E81" s="25"/>
      <c r="F81" s="25"/>
      <c r="G81" s="25"/>
      <c r="H81" s="25"/>
      <c r="I81" s="45">
        <f>J73+J74+J76+J77+J78+J79</f>
        <v>250891.06000000003</v>
      </c>
      <c r="J81" s="45"/>
      <c r="K81" s="26">
        <f>IF(Source!I35&lt;&gt;0, ROUND(I81/Source!I35, 2), 0)</f>
        <v>34368.639999999999</v>
      </c>
      <c r="P81" s="23">
        <f>I81</f>
        <v>250891.06000000003</v>
      </c>
    </row>
    <row r="83" spans="1:22" ht="15" x14ac:dyDescent="0.25">
      <c r="A83" s="48" t="str">
        <f>CONCATENATE("Итого по разделу: ",IF(Source!G37&lt;&gt;"Новый раздел", Source!G37, ""))</f>
        <v>Итого по разделу: Ремонт асфальтобетонного покрытия - 730м2</v>
      </c>
      <c r="B83" s="48"/>
      <c r="C83" s="48"/>
      <c r="D83" s="48"/>
      <c r="E83" s="48"/>
      <c r="F83" s="48"/>
      <c r="G83" s="48"/>
      <c r="H83" s="48"/>
      <c r="I83" s="46">
        <f>SUM(P17:P82)</f>
        <v>717346.27</v>
      </c>
      <c r="J83" s="47"/>
      <c r="K83" s="27"/>
    </row>
    <row r="86" spans="1:22" ht="16.5" x14ac:dyDescent="0.25">
      <c r="A86" s="49" t="str">
        <f>CONCATENATE("Раздел: ",IF(Source!G66&lt;&gt;"Новый раздел", Source!G66, ""))</f>
        <v>Раздел: Устройство асфальтобетонного покрытия - 13м2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1:22" ht="57" x14ac:dyDescent="0.2">
      <c r="A87" s="15" t="str">
        <f>Source!E70</f>
        <v>9</v>
      </c>
      <c r="B87" s="16" t="str">
        <f>Source!F70</f>
        <v>2.49-3101-3-1/1</v>
      </c>
      <c r="C87" s="16" t="str">
        <f>Source!G70</f>
        <v>Разработка грунта с погрузкой на автомобили-самосвалы экскаваторами с ковшом вместимостью 0,8 м3, группа грунтов 1-3</v>
      </c>
      <c r="D87" s="17" t="str">
        <f>Source!H70</f>
        <v>100 м3</v>
      </c>
      <c r="E87" s="9">
        <f>Source!I70</f>
        <v>4.5499999999999999E-2</v>
      </c>
      <c r="F87" s="19"/>
      <c r="G87" s="18"/>
      <c r="H87" s="9"/>
      <c r="I87" s="9"/>
      <c r="J87" s="20"/>
      <c r="K87" s="20"/>
      <c r="Q87">
        <f>ROUND((Source!BZ70/100)*ROUND((Source!AF70*Source!AV70)*Source!I70, 2), 2)</f>
        <v>4.99</v>
      </c>
      <c r="R87">
        <f>Source!X70</f>
        <v>4.99</v>
      </c>
      <c r="S87">
        <f>ROUND((Source!CA70/100)*ROUND((Source!AF70*Source!AV70)*Source!I70, 2), 2)</f>
        <v>0.71</v>
      </c>
      <c r="T87">
        <f>Source!Y70</f>
        <v>0.71</v>
      </c>
      <c r="U87">
        <f>ROUND((175/100)*ROUND((Source!AE70*Source!AV70)*Source!I70, 2), 2)</f>
        <v>160.22999999999999</v>
      </c>
      <c r="V87">
        <f>ROUND((108/100)*ROUND(Source!CS70*Source!I70, 2), 2)</f>
        <v>98.88</v>
      </c>
    </row>
    <row r="88" spans="1:22" x14ac:dyDescent="0.2">
      <c r="C88" s="21" t="str">
        <f>"Объем: "&amp;Source!I70&amp;"=13*"&amp;"0,35/"&amp;"100"</f>
        <v>Объем: 0,0455=13*0,35/100</v>
      </c>
    </row>
    <row r="89" spans="1:22" ht="14.25" x14ac:dyDescent="0.2">
      <c r="A89" s="15"/>
      <c r="B89" s="16"/>
      <c r="C89" s="16" t="s">
        <v>360</v>
      </c>
      <c r="D89" s="17"/>
      <c r="E89" s="9"/>
      <c r="F89" s="19">
        <f>Source!AO70</f>
        <v>156.61000000000001</v>
      </c>
      <c r="G89" s="18" t="str">
        <f>Source!DG70</f>
        <v/>
      </c>
      <c r="H89" s="9">
        <f>Source!AV70</f>
        <v>1</v>
      </c>
      <c r="I89" s="9">
        <f>IF(Source!BA70&lt;&gt; 0, Source!BA70, 1)</f>
        <v>1</v>
      </c>
      <c r="J89" s="20">
        <f>Source!S70</f>
        <v>7.13</v>
      </c>
      <c r="K89" s="20"/>
    </row>
    <row r="90" spans="1:22" ht="14.25" x14ac:dyDescent="0.2">
      <c r="A90" s="15"/>
      <c r="B90" s="16"/>
      <c r="C90" s="16" t="s">
        <v>361</v>
      </c>
      <c r="D90" s="17"/>
      <c r="E90" s="9"/>
      <c r="F90" s="19">
        <f>Source!AM70</f>
        <v>4943.3</v>
      </c>
      <c r="G90" s="18" t="str">
        <f>Source!DE70</f>
        <v/>
      </c>
      <c r="H90" s="9">
        <f>Source!AV70</f>
        <v>1</v>
      </c>
      <c r="I90" s="9">
        <f>IF(Source!BB70&lt;&gt; 0, Source!BB70, 1)</f>
        <v>1</v>
      </c>
      <c r="J90" s="20">
        <f>Source!Q70</f>
        <v>224.92</v>
      </c>
      <c r="K90" s="20"/>
    </row>
    <row r="91" spans="1:22" ht="14.25" x14ac:dyDescent="0.2">
      <c r="A91" s="15"/>
      <c r="B91" s="16"/>
      <c r="C91" s="16" t="s">
        <v>362</v>
      </c>
      <c r="D91" s="17"/>
      <c r="E91" s="9"/>
      <c r="F91" s="19">
        <f>Source!AN70</f>
        <v>2012.38</v>
      </c>
      <c r="G91" s="18" t="str">
        <f>Source!DF70</f>
        <v/>
      </c>
      <c r="H91" s="9">
        <f>Source!AV70</f>
        <v>1</v>
      </c>
      <c r="I91" s="9">
        <f>IF(Source!BS70&lt;&gt; 0, Source!BS70, 1)</f>
        <v>1</v>
      </c>
      <c r="J91" s="22">
        <f>Source!R70</f>
        <v>91.56</v>
      </c>
      <c r="K91" s="20"/>
    </row>
    <row r="92" spans="1:22" ht="14.25" x14ac:dyDescent="0.2">
      <c r="A92" s="15"/>
      <c r="B92" s="16"/>
      <c r="C92" s="16" t="s">
        <v>363</v>
      </c>
      <c r="D92" s="17" t="s">
        <v>364</v>
      </c>
      <c r="E92" s="9">
        <f>Source!AT70</f>
        <v>70</v>
      </c>
      <c r="F92" s="19"/>
      <c r="G92" s="18"/>
      <c r="H92" s="9"/>
      <c r="I92" s="9"/>
      <c r="J92" s="20">
        <f>SUM(R87:R91)</f>
        <v>4.99</v>
      </c>
      <c r="K92" s="20"/>
    </row>
    <row r="93" spans="1:22" ht="14.25" x14ac:dyDescent="0.2">
      <c r="A93" s="15"/>
      <c r="B93" s="16"/>
      <c r="C93" s="16" t="s">
        <v>365</v>
      </c>
      <c r="D93" s="17" t="s">
        <v>364</v>
      </c>
      <c r="E93" s="9">
        <f>Source!AU70</f>
        <v>10</v>
      </c>
      <c r="F93" s="19"/>
      <c r="G93" s="18"/>
      <c r="H93" s="9"/>
      <c r="I93" s="9"/>
      <c r="J93" s="20">
        <f>SUM(T87:T92)</f>
        <v>0.71</v>
      </c>
      <c r="K93" s="20"/>
    </row>
    <row r="94" spans="1:22" ht="14.25" x14ac:dyDescent="0.2">
      <c r="A94" s="15"/>
      <c r="B94" s="16"/>
      <c r="C94" s="16" t="s">
        <v>366</v>
      </c>
      <c r="D94" s="17" t="s">
        <v>364</v>
      </c>
      <c r="E94" s="9">
        <f>108</f>
        <v>108</v>
      </c>
      <c r="F94" s="19"/>
      <c r="G94" s="18"/>
      <c r="H94" s="9"/>
      <c r="I94" s="9"/>
      <c r="J94" s="20">
        <f>SUM(V87:V93)</f>
        <v>98.88</v>
      </c>
      <c r="K94" s="20"/>
    </row>
    <row r="95" spans="1:22" ht="14.25" x14ac:dyDescent="0.2">
      <c r="A95" s="15"/>
      <c r="B95" s="16"/>
      <c r="C95" s="16" t="s">
        <v>367</v>
      </c>
      <c r="D95" s="17" t="s">
        <v>368</v>
      </c>
      <c r="E95" s="9">
        <f>Source!AQ70</f>
        <v>1.05</v>
      </c>
      <c r="F95" s="19"/>
      <c r="G95" s="18" t="str">
        <f>Source!DI70</f>
        <v/>
      </c>
      <c r="H95" s="9">
        <f>Source!AV70</f>
        <v>1</v>
      </c>
      <c r="I95" s="9"/>
      <c r="J95" s="20"/>
      <c r="K95" s="20">
        <f>Source!U70</f>
        <v>4.7774999999999998E-2</v>
      </c>
    </row>
    <row r="96" spans="1:22" ht="15" x14ac:dyDescent="0.25">
      <c r="A96" s="25"/>
      <c r="B96" s="25"/>
      <c r="C96" s="25"/>
      <c r="D96" s="25"/>
      <c r="E96" s="25"/>
      <c r="F96" s="25"/>
      <c r="G96" s="25"/>
      <c r="H96" s="25"/>
      <c r="I96" s="45">
        <f>J89+J90+J92+J93+J94</f>
        <v>336.63</v>
      </c>
      <c r="J96" s="45"/>
      <c r="K96" s="26">
        <f>IF(Source!I70&lt;&gt;0, ROUND(I96/Source!I70, 2), 0)</f>
        <v>7398.46</v>
      </c>
      <c r="P96" s="23">
        <f>I96</f>
        <v>336.63</v>
      </c>
    </row>
    <row r="97" spans="1:22" ht="42.75" x14ac:dyDescent="0.2">
      <c r="A97" s="15" t="str">
        <f>Source!E71</f>
        <v>10</v>
      </c>
      <c r="B97" s="16" t="str">
        <f>Source!F71</f>
        <v>2.49-3401-1-1/1</v>
      </c>
      <c r="C97" s="16" t="str">
        <f>Source!G71</f>
        <v>Перевозка грунта автосамосвалами грузоподъемностью до 10 т на расстояние 1 км</v>
      </c>
      <c r="D97" s="17" t="str">
        <f>Source!H71</f>
        <v>м3</v>
      </c>
      <c r="E97" s="9">
        <f>Source!I71</f>
        <v>4.55</v>
      </c>
      <c r="F97" s="19"/>
      <c r="G97" s="18"/>
      <c r="H97" s="9"/>
      <c r="I97" s="9"/>
      <c r="J97" s="20"/>
      <c r="K97" s="20"/>
      <c r="Q97">
        <f>ROUND((Source!BZ71/100)*ROUND((Source!AF71*Source!AV71)*Source!I71, 2), 2)</f>
        <v>0</v>
      </c>
      <c r="R97">
        <f>Source!X71</f>
        <v>0</v>
      </c>
      <c r="S97">
        <f>ROUND((Source!CA71/100)*ROUND((Source!AF71*Source!AV71)*Source!I71, 2), 2)</f>
        <v>0</v>
      </c>
      <c r="T97">
        <f>Source!Y71</f>
        <v>0</v>
      </c>
      <c r="U97">
        <f>ROUND((175/100)*ROUND((Source!AE71*Source!AV71)*Source!I71, 2), 2)</f>
        <v>332.99</v>
      </c>
      <c r="V97">
        <f>ROUND((108/100)*ROUND(Source!CS71*Source!I71, 2), 2)</f>
        <v>205.5</v>
      </c>
    </row>
    <row r="98" spans="1:22" x14ac:dyDescent="0.2">
      <c r="C98" s="21" t="str">
        <f>"Объем: "&amp;Source!I71&amp;"="&amp;Source!I70&amp;"*"&amp;"100"</f>
        <v>Объем: 4,55=0,0455*100</v>
      </c>
    </row>
    <row r="99" spans="1:22" ht="14.25" x14ac:dyDescent="0.2">
      <c r="A99" s="15"/>
      <c r="B99" s="16"/>
      <c r="C99" s="16" t="s">
        <v>361</v>
      </c>
      <c r="D99" s="17"/>
      <c r="E99" s="9"/>
      <c r="F99" s="19">
        <f>Source!AM71</f>
        <v>56.28</v>
      </c>
      <c r="G99" s="18" t="str">
        <f>Source!DE71</f>
        <v/>
      </c>
      <c r="H99" s="9">
        <f>Source!AV71</f>
        <v>1</v>
      </c>
      <c r="I99" s="9">
        <f>IF(Source!BB71&lt;&gt; 0, Source!BB71, 1)</f>
        <v>1</v>
      </c>
      <c r="J99" s="20">
        <f>Source!Q71</f>
        <v>256.07</v>
      </c>
      <c r="K99" s="20"/>
    </row>
    <row r="100" spans="1:22" ht="14.25" x14ac:dyDescent="0.2">
      <c r="A100" s="15"/>
      <c r="B100" s="16"/>
      <c r="C100" s="16" t="s">
        <v>362</v>
      </c>
      <c r="D100" s="17"/>
      <c r="E100" s="9"/>
      <c r="F100" s="19">
        <f>Source!AN71</f>
        <v>41.82</v>
      </c>
      <c r="G100" s="18" t="str">
        <f>Source!DF71</f>
        <v/>
      </c>
      <c r="H100" s="9">
        <f>Source!AV71</f>
        <v>1</v>
      </c>
      <c r="I100" s="9">
        <f>IF(Source!BS71&lt;&gt; 0, Source!BS71, 1)</f>
        <v>1</v>
      </c>
      <c r="J100" s="22">
        <f>Source!R71</f>
        <v>190.28</v>
      </c>
      <c r="K100" s="20"/>
    </row>
    <row r="101" spans="1:22" ht="15" x14ac:dyDescent="0.25">
      <c r="A101" s="25"/>
      <c r="B101" s="25"/>
      <c r="C101" s="25"/>
      <c r="D101" s="25"/>
      <c r="E101" s="25"/>
      <c r="F101" s="25"/>
      <c r="G101" s="25"/>
      <c r="H101" s="25"/>
      <c r="I101" s="45">
        <f>J99</f>
        <v>256.07</v>
      </c>
      <c r="J101" s="45"/>
      <c r="K101" s="26">
        <f>IF(Source!I71&lt;&gt;0, ROUND(I101/Source!I71, 2), 0)</f>
        <v>56.28</v>
      </c>
      <c r="P101" s="23">
        <f>I101</f>
        <v>256.07</v>
      </c>
    </row>
    <row r="102" spans="1:22" ht="57" x14ac:dyDescent="0.2">
      <c r="A102" s="15" t="str">
        <f>Source!E72</f>
        <v>11</v>
      </c>
      <c r="B102" s="16" t="str">
        <f>Source!F72</f>
        <v>2.49-3401-1-2/1</v>
      </c>
      <c r="C102" s="16" t="str">
        <f>Source!G72</f>
        <v>Перевозка грунта автосамосвалами грузоподъемностью до 10 т - добавляется на каждый последующий 1 км до 100 км (к поз. 49-3401-1-1)</v>
      </c>
      <c r="D102" s="17" t="str">
        <f>Source!H72</f>
        <v>м3</v>
      </c>
      <c r="E102" s="9">
        <f>Source!I72</f>
        <v>4.55</v>
      </c>
      <c r="F102" s="19"/>
      <c r="G102" s="18"/>
      <c r="H102" s="9"/>
      <c r="I102" s="9"/>
      <c r="J102" s="20"/>
      <c r="K102" s="20"/>
      <c r="Q102">
        <f>ROUND((Source!BZ72/100)*ROUND((Source!AF72*Source!AV72)*Source!I72, 2), 2)</f>
        <v>0</v>
      </c>
      <c r="R102">
        <f>Source!X72</f>
        <v>0</v>
      </c>
      <c r="S102">
        <f>ROUND((Source!CA72/100)*ROUND((Source!AF72*Source!AV72)*Source!I72, 2), 2)</f>
        <v>0</v>
      </c>
      <c r="T102">
        <f>Source!Y72</f>
        <v>0</v>
      </c>
      <c r="U102">
        <f>ROUND((175/100)*ROUND((Source!AE72*Source!AV72)*Source!I72, 2), 2)</f>
        <v>2792.77</v>
      </c>
      <c r="V102">
        <f>ROUND((108/100)*ROUND(Source!CS72*Source!I72, 2), 2)</f>
        <v>1723.54</v>
      </c>
    </row>
    <row r="103" spans="1:22" ht="14.25" x14ac:dyDescent="0.2">
      <c r="A103" s="15"/>
      <c r="B103" s="16"/>
      <c r="C103" s="16" t="s">
        <v>361</v>
      </c>
      <c r="D103" s="17"/>
      <c r="E103" s="9"/>
      <c r="F103" s="19">
        <f>Source!AM72</f>
        <v>18.16</v>
      </c>
      <c r="G103" s="18" t="str">
        <f>Source!DE72</f>
        <v>*26</v>
      </c>
      <c r="H103" s="9">
        <f>Source!AV72</f>
        <v>1</v>
      </c>
      <c r="I103" s="9">
        <f>IF(Source!BB72&lt;&gt; 0, Source!BB72, 1)</f>
        <v>1</v>
      </c>
      <c r="J103" s="20">
        <f>Source!Q72</f>
        <v>2148.33</v>
      </c>
      <c r="K103" s="20"/>
    </row>
    <row r="104" spans="1:22" ht="14.25" x14ac:dyDescent="0.2">
      <c r="A104" s="15"/>
      <c r="B104" s="16"/>
      <c r="C104" s="16" t="s">
        <v>362</v>
      </c>
      <c r="D104" s="17"/>
      <c r="E104" s="9"/>
      <c r="F104" s="19">
        <f>Source!AN72</f>
        <v>13.49</v>
      </c>
      <c r="G104" s="18" t="str">
        <f>Source!DF72</f>
        <v>*26</v>
      </c>
      <c r="H104" s="9">
        <f>Source!AV72</f>
        <v>1</v>
      </c>
      <c r="I104" s="9">
        <f>IF(Source!BS72&lt;&gt; 0, Source!BS72, 1)</f>
        <v>1</v>
      </c>
      <c r="J104" s="22">
        <f>Source!R72</f>
        <v>1595.87</v>
      </c>
      <c r="K104" s="20"/>
    </row>
    <row r="105" spans="1:22" ht="15" x14ac:dyDescent="0.25">
      <c r="A105" s="25"/>
      <c r="B105" s="25"/>
      <c r="C105" s="25"/>
      <c r="D105" s="25"/>
      <c r="E105" s="25"/>
      <c r="F105" s="25"/>
      <c r="G105" s="25"/>
      <c r="H105" s="25"/>
      <c r="I105" s="45">
        <f>J103</f>
        <v>2148.33</v>
      </c>
      <c r="J105" s="45"/>
      <c r="K105" s="26">
        <f>IF(Source!I72&lt;&gt;0, ROUND(I105/Source!I72, 2), 0)</f>
        <v>472.16</v>
      </c>
      <c r="P105" s="23">
        <f>I105</f>
        <v>2148.33</v>
      </c>
    </row>
    <row r="106" spans="1:22" ht="42.75" x14ac:dyDescent="0.2">
      <c r="A106" s="15" t="str">
        <f>Source!E73</f>
        <v>12</v>
      </c>
      <c r="B106" s="16" t="str">
        <f>Source!F73</f>
        <v>2.1-3303-1-1/1</v>
      </c>
      <c r="C106" s="16" t="str">
        <f>Source!G73</f>
        <v>Устройство подстилающих и выравнивающих слоев оснований из песка</v>
      </c>
      <c r="D106" s="17" t="str">
        <f>Source!H73</f>
        <v>100 м3</v>
      </c>
      <c r="E106" s="9">
        <f>Source!I73</f>
        <v>1.2999999999999999E-2</v>
      </c>
      <c r="F106" s="19"/>
      <c r="G106" s="18"/>
      <c r="H106" s="9"/>
      <c r="I106" s="9"/>
      <c r="J106" s="20"/>
      <c r="K106" s="20"/>
      <c r="Q106">
        <f>ROUND((Source!BZ73/100)*ROUND((Source!AF73*Source!AV73)*Source!I73, 2), 2)</f>
        <v>23.28</v>
      </c>
      <c r="R106">
        <f>Source!X73</f>
        <v>23.28</v>
      </c>
      <c r="S106">
        <f>ROUND((Source!CA73/100)*ROUND((Source!AF73*Source!AV73)*Source!I73, 2), 2)</f>
        <v>3.33</v>
      </c>
      <c r="T106">
        <f>Source!Y73</f>
        <v>3.33</v>
      </c>
      <c r="U106">
        <f>ROUND((175/100)*ROUND((Source!AE73*Source!AV73)*Source!I73, 2), 2)</f>
        <v>60.74</v>
      </c>
      <c r="V106">
        <f>ROUND((108/100)*ROUND(Source!CS73*Source!I73, 2), 2)</f>
        <v>37.49</v>
      </c>
    </row>
    <row r="107" spans="1:22" x14ac:dyDescent="0.2">
      <c r="C107" s="21" t="str">
        <f>"Объем: "&amp;Source!I73&amp;"=13*"&amp;"0,1/"&amp;"100"</f>
        <v>Объем: 0,013=13*0,1/100</v>
      </c>
    </row>
    <row r="108" spans="1:22" ht="14.25" x14ac:dyDescent="0.2">
      <c r="A108" s="15"/>
      <c r="B108" s="16"/>
      <c r="C108" s="16" t="s">
        <v>360</v>
      </c>
      <c r="D108" s="17"/>
      <c r="E108" s="9"/>
      <c r="F108" s="19">
        <f>Source!AO73</f>
        <v>2557.69</v>
      </c>
      <c r="G108" s="18" t="str">
        <f>Source!DG73</f>
        <v/>
      </c>
      <c r="H108" s="9">
        <f>Source!AV73</f>
        <v>1</v>
      </c>
      <c r="I108" s="9">
        <f>IF(Source!BA73&lt;&gt; 0, Source!BA73, 1)</f>
        <v>1</v>
      </c>
      <c r="J108" s="20">
        <f>Source!S73</f>
        <v>33.25</v>
      </c>
      <c r="K108" s="20"/>
    </row>
    <row r="109" spans="1:22" ht="14.25" x14ac:dyDescent="0.2">
      <c r="A109" s="15"/>
      <c r="B109" s="16"/>
      <c r="C109" s="16" t="s">
        <v>361</v>
      </c>
      <c r="D109" s="17"/>
      <c r="E109" s="9"/>
      <c r="F109" s="19">
        <f>Source!AM73</f>
        <v>7173.55</v>
      </c>
      <c r="G109" s="18" t="str">
        <f>Source!DE73</f>
        <v/>
      </c>
      <c r="H109" s="9">
        <f>Source!AV73</f>
        <v>1</v>
      </c>
      <c r="I109" s="9">
        <f>IF(Source!BB73&lt;&gt; 0, Source!BB73, 1)</f>
        <v>1</v>
      </c>
      <c r="J109" s="20">
        <f>Source!Q73</f>
        <v>93.26</v>
      </c>
      <c r="K109" s="20"/>
    </row>
    <row r="110" spans="1:22" ht="14.25" x14ac:dyDescent="0.2">
      <c r="A110" s="15"/>
      <c r="B110" s="16"/>
      <c r="C110" s="16" t="s">
        <v>362</v>
      </c>
      <c r="D110" s="17"/>
      <c r="E110" s="9"/>
      <c r="F110" s="19">
        <f>Source!AN73</f>
        <v>2669.64</v>
      </c>
      <c r="G110" s="18" t="str">
        <f>Source!DF73</f>
        <v/>
      </c>
      <c r="H110" s="9">
        <f>Source!AV73</f>
        <v>1</v>
      </c>
      <c r="I110" s="9">
        <f>IF(Source!BS73&lt;&gt; 0, Source!BS73, 1)</f>
        <v>1</v>
      </c>
      <c r="J110" s="22">
        <f>Source!R73</f>
        <v>34.71</v>
      </c>
      <c r="K110" s="20"/>
    </row>
    <row r="111" spans="1:22" ht="14.25" x14ac:dyDescent="0.2">
      <c r="A111" s="15"/>
      <c r="B111" s="16"/>
      <c r="C111" s="16" t="s">
        <v>369</v>
      </c>
      <c r="D111" s="17"/>
      <c r="E111" s="9"/>
      <c r="F111" s="19">
        <f>Source!AL73</f>
        <v>61659.15</v>
      </c>
      <c r="G111" s="18" t="str">
        <f>Source!DD73</f>
        <v/>
      </c>
      <c r="H111" s="9">
        <f>Source!AW73</f>
        <v>1</v>
      </c>
      <c r="I111" s="9">
        <f>IF(Source!BC73&lt;&gt; 0, Source!BC73, 1)</f>
        <v>1</v>
      </c>
      <c r="J111" s="20">
        <f>Source!P73</f>
        <v>801.57</v>
      </c>
      <c r="K111" s="20"/>
    </row>
    <row r="112" spans="1:22" ht="14.25" x14ac:dyDescent="0.2">
      <c r="A112" s="15"/>
      <c r="B112" s="16"/>
      <c r="C112" s="16" t="s">
        <v>363</v>
      </c>
      <c r="D112" s="17" t="s">
        <v>364</v>
      </c>
      <c r="E112" s="9">
        <f>Source!AT73</f>
        <v>70</v>
      </c>
      <c r="F112" s="19"/>
      <c r="G112" s="18"/>
      <c r="H112" s="9"/>
      <c r="I112" s="9"/>
      <c r="J112" s="20">
        <f>SUM(R106:R111)</f>
        <v>23.28</v>
      </c>
      <c r="K112" s="20"/>
    </row>
    <row r="113" spans="1:22" ht="14.25" x14ac:dyDescent="0.2">
      <c r="A113" s="15"/>
      <c r="B113" s="16"/>
      <c r="C113" s="16" t="s">
        <v>365</v>
      </c>
      <c r="D113" s="17" t="s">
        <v>364</v>
      </c>
      <c r="E113" s="9">
        <f>Source!AU73</f>
        <v>10</v>
      </c>
      <c r="F113" s="19"/>
      <c r="G113" s="18"/>
      <c r="H113" s="9"/>
      <c r="I113" s="9"/>
      <c r="J113" s="20">
        <f>SUM(T106:T112)</f>
        <v>3.33</v>
      </c>
      <c r="K113" s="20"/>
    </row>
    <row r="114" spans="1:22" ht="14.25" x14ac:dyDescent="0.2">
      <c r="A114" s="15"/>
      <c r="B114" s="16"/>
      <c r="C114" s="16" t="s">
        <v>366</v>
      </c>
      <c r="D114" s="17" t="s">
        <v>364</v>
      </c>
      <c r="E114" s="9">
        <f>108</f>
        <v>108</v>
      </c>
      <c r="F114" s="19"/>
      <c r="G114" s="18"/>
      <c r="H114" s="9"/>
      <c r="I114" s="9"/>
      <c r="J114" s="20">
        <f>SUM(V106:V113)</f>
        <v>37.49</v>
      </c>
      <c r="K114" s="20"/>
    </row>
    <row r="115" spans="1:22" ht="14.25" x14ac:dyDescent="0.2">
      <c r="A115" s="15"/>
      <c r="B115" s="16"/>
      <c r="C115" s="16" t="s">
        <v>367</v>
      </c>
      <c r="D115" s="17" t="s">
        <v>368</v>
      </c>
      <c r="E115" s="9">
        <f>Source!AQ73</f>
        <v>16.559999999999999</v>
      </c>
      <c r="F115" s="19"/>
      <c r="G115" s="18" t="str">
        <f>Source!DI73</f>
        <v/>
      </c>
      <c r="H115" s="9">
        <f>Source!AV73</f>
        <v>1</v>
      </c>
      <c r="I115" s="9"/>
      <c r="J115" s="20"/>
      <c r="K115" s="20">
        <f>Source!U73</f>
        <v>0.21527999999999997</v>
      </c>
    </row>
    <row r="116" spans="1:22" ht="15" x14ac:dyDescent="0.25">
      <c r="A116" s="25"/>
      <c r="B116" s="25"/>
      <c r="C116" s="25"/>
      <c r="D116" s="25"/>
      <c r="E116" s="25"/>
      <c r="F116" s="25"/>
      <c r="G116" s="25"/>
      <c r="H116" s="25"/>
      <c r="I116" s="45">
        <f>J108+J109+J111+J112+J113+J114</f>
        <v>992.18000000000006</v>
      </c>
      <c r="J116" s="45"/>
      <c r="K116" s="26">
        <f>IF(Source!I73&lt;&gt;0, ROUND(I116/Source!I73, 2), 0)</f>
        <v>76321.539999999994</v>
      </c>
      <c r="P116" s="23">
        <f>I116</f>
        <v>992.18000000000006</v>
      </c>
    </row>
    <row r="117" spans="1:22" ht="42.75" x14ac:dyDescent="0.2">
      <c r="A117" s="15" t="str">
        <f>Source!E74</f>
        <v>13</v>
      </c>
      <c r="B117" s="16" t="str">
        <f>Source!F74</f>
        <v>2.1-3303-1-2/1</v>
      </c>
      <c r="C117" s="16" t="str">
        <f>Source!G74</f>
        <v>Устройство подстилающих и выравнивающих слоев оснований из щебня</v>
      </c>
      <c r="D117" s="17" t="str">
        <f>Source!H74</f>
        <v>100 м3</v>
      </c>
      <c r="E117" s="9">
        <f>Source!I74</f>
        <v>1.2999999999999999E-2</v>
      </c>
      <c r="F117" s="19"/>
      <c r="G117" s="18"/>
      <c r="H117" s="9"/>
      <c r="I117" s="9"/>
      <c r="J117" s="20"/>
      <c r="K117" s="20"/>
      <c r="Q117">
        <f>ROUND((Source!BZ74/100)*ROUND((Source!AF74*Source!AV74)*Source!I74, 2), 2)</f>
        <v>34.92</v>
      </c>
      <c r="R117">
        <f>Source!X74</f>
        <v>34.92</v>
      </c>
      <c r="S117">
        <f>ROUND((Source!CA74/100)*ROUND((Source!AF74*Source!AV74)*Source!I74, 2), 2)</f>
        <v>4.99</v>
      </c>
      <c r="T117">
        <f>Source!Y74</f>
        <v>4.99</v>
      </c>
      <c r="U117">
        <f>ROUND((175/100)*ROUND((Source!AE74*Source!AV74)*Source!I74, 2), 2)</f>
        <v>361.6</v>
      </c>
      <c r="V117">
        <f>ROUND((108/100)*ROUND(Source!CS74*Source!I74, 2), 2)</f>
        <v>223.16</v>
      </c>
    </row>
    <row r="118" spans="1:22" ht="14.25" x14ac:dyDescent="0.2">
      <c r="A118" s="15"/>
      <c r="B118" s="16"/>
      <c r="C118" s="16" t="s">
        <v>360</v>
      </c>
      <c r="D118" s="17"/>
      <c r="E118" s="9"/>
      <c r="F118" s="19">
        <f>Source!AO74</f>
        <v>3836.54</v>
      </c>
      <c r="G118" s="18" t="str">
        <f>Source!DG74</f>
        <v/>
      </c>
      <c r="H118" s="9">
        <f>Source!AV74</f>
        <v>1</v>
      </c>
      <c r="I118" s="9">
        <f>IF(Source!BA74&lt;&gt; 0, Source!BA74, 1)</f>
        <v>1</v>
      </c>
      <c r="J118" s="20">
        <f>Source!S74</f>
        <v>49.88</v>
      </c>
      <c r="K118" s="20"/>
    </row>
    <row r="119" spans="1:22" ht="14.25" x14ac:dyDescent="0.2">
      <c r="A119" s="15"/>
      <c r="B119" s="16"/>
      <c r="C119" s="16" t="s">
        <v>361</v>
      </c>
      <c r="D119" s="17"/>
      <c r="E119" s="9"/>
      <c r="F119" s="19">
        <f>Source!AM74</f>
        <v>43302.76</v>
      </c>
      <c r="G119" s="18" t="str">
        <f>Source!DE74</f>
        <v/>
      </c>
      <c r="H119" s="9">
        <f>Source!AV74</f>
        <v>1</v>
      </c>
      <c r="I119" s="9">
        <f>IF(Source!BB74&lt;&gt; 0, Source!BB74, 1)</f>
        <v>1</v>
      </c>
      <c r="J119" s="20">
        <f>Source!Q74</f>
        <v>562.94000000000005</v>
      </c>
      <c r="K119" s="20"/>
    </row>
    <row r="120" spans="1:22" ht="14.25" x14ac:dyDescent="0.2">
      <c r="A120" s="15"/>
      <c r="B120" s="16"/>
      <c r="C120" s="16" t="s">
        <v>362</v>
      </c>
      <c r="D120" s="17"/>
      <c r="E120" s="9"/>
      <c r="F120" s="19">
        <f>Source!AN74</f>
        <v>15894.37</v>
      </c>
      <c r="G120" s="18" t="str">
        <f>Source!DF74</f>
        <v/>
      </c>
      <c r="H120" s="9">
        <f>Source!AV74</f>
        <v>1</v>
      </c>
      <c r="I120" s="9">
        <f>IF(Source!BS74&lt;&gt; 0, Source!BS74, 1)</f>
        <v>1</v>
      </c>
      <c r="J120" s="22">
        <f>Source!R74</f>
        <v>206.63</v>
      </c>
      <c r="K120" s="20"/>
    </row>
    <row r="121" spans="1:22" ht="14.25" x14ac:dyDescent="0.2">
      <c r="A121" s="15"/>
      <c r="B121" s="16"/>
      <c r="C121" s="16" t="s">
        <v>369</v>
      </c>
      <c r="D121" s="17"/>
      <c r="E121" s="9"/>
      <c r="F121" s="19">
        <f>Source!AL74</f>
        <v>240984.87</v>
      </c>
      <c r="G121" s="18" t="str">
        <f>Source!DD74</f>
        <v/>
      </c>
      <c r="H121" s="9">
        <f>Source!AW74</f>
        <v>1</v>
      </c>
      <c r="I121" s="9">
        <f>IF(Source!BC74&lt;&gt; 0, Source!BC74, 1)</f>
        <v>1</v>
      </c>
      <c r="J121" s="20">
        <f>Source!P74</f>
        <v>3132.8</v>
      </c>
      <c r="K121" s="20"/>
    </row>
    <row r="122" spans="1:22" ht="14.25" x14ac:dyDescent="0.2">
      <c r="A122" s="15"/>
      <c r="B122" s="16"/>
      <c r="C122" s="16" t="s">
        <v>363</v>
      </c>
      <c r="D122" s="17" t="s">
        <v>364</v>
      </c>
      <c r="E122" s="9">
        <f>Source!AT74</f>
        <v>70</v>
      </c>
      <c r="F122" s="19"/>
      <c r="G122" s="18"/>
      <c r="H122" s="9"/>
      <c r="I122" s="9"/>
      <c r="J122" s="20">
        <f>SUM(R117:R121)</f>
        <v>34.92</v>
      </c>
      <c r="K122" s="20"/>
    </row>
    <row r="123" spans="1:22" ht="14.25" x14ac:dyDescent="0.2">
      <c r="A123" s="15"/>
      <c r="B123" s="16"/>
      <c r="C123" s="16" t="s">
        <v>365</v>
      </c>
      <c r="D123" s="17" t="s">
        <v>364</v>
      </c>
      <c r="E123" s="9">
        <f>Source!AU74</f>
        <v>10</v>
      </c>
      <c r="F123" s="19"/>
      <c r="G123" s="18"/>
      <c r="H123" s="9"/>
      <c r="I123" s="9"/>
      <c r="J123" s="20">
        <f>SUM(T117:T122)</f>
        <v>4.99</v>
      </c>
      <c r="K123" s="20"/>
    </row>
    <row r="124" spans="1:22" ht="14.25" x14ac:dyDescent="0.2">
      <c r="A124" s="15"/>
      <c r="B124" s="16"/>
      <c r="C124" s="16" t="s">
        <v>366</v>
      </c>
      <c r="D124" s="17" t="s">
        <v>364</v>
      </c>
      <c r="E124" s="9">
        <f>108</f>
        <v>108</v>
      </c>
      <c r="F124" s="19"/>
      <c r="G124" s="18"/>
      <c r="H124" s="9"/>
      <c r="I124" s="9"/>
      <c r="J124" s="20">
        <f>SUM(V117:V123)</f>
        <v>223.16</v>
      </c>
      <c r="K124" s="20"/>
    </row>
    <row r="125" spans="1:22" ht="14.25" x14ac:dyDescent="0.2">
      <c r="A125" s="15"/>
      <c r="B125" s="16"/>
      <c r="C125" s="16" t="s">
        <v>367</v>
      </c>
      <c r="D125" s="17" t="s">
        <v>368</v>
      </c>
      <c r="E125" s="9">
        <f>Source!AQ74</f>
        <v>24.84</v>
      </c>
      <c r="F125" s="19"/>
      <c r="G125" s="18" t="str">
        <f>Source!DI74</f>
        <v/>
      </c>
      <c r="H125" s="9">
        <f>Source!AV74</f>
        <v>1</v>
      </c>
      <c r="I125" s="9"/>
      <c r="J125" s="20"/>
      <c r="K125" s="20">
        <f>Source!U74</f>
        <v>0.32291999999999998</v>
      </c>
    </row>
    <row r="126" spans="1:22" ht="15" x14ac:dyDescent="0.25">
      <c r="A126" s="25"/>
      <c r="B126" s="25"/>
      <c r="C126" s="25"/>
      <c r="D126" s="25"/>
      <c r="E126" s="25"/>
      <c r="F126" s="25"/>
      <c r="G126" s="25"/>
      <c r="H126" s="25"/>
      <c r="I126" s="45">
        <f>J118+J119+J121+J122+J123+J124</f>
        <v>4008.69</v>
      </c>
      <c r="J126" s="45"/>
      <c r="K126" s="26">
        <f>IF(Source!I74&lt;&gt;0, ROUND(I126/Source!I74, 2), 0)</f>
        <v>308360.77</v>
      </c>
      <c r="P126" s="23">
        <f>I126</f>
        <v>4008.69</v>
      </c>
    </row>
    <row r="127" spans="1:22" ht="42.75" x14ac:dyDescent="0.2">
      <c r="A127" s="15" t="str">
        <f>Source!E75</f>
        <v>14</v>
      </c>
      <c r="B127" s="16" t="str">
        <f>Source!F75</f>
        <v>2.1-3103-18-1/1</v>
      </c>
      <c r="C127" s="16" t="str">
        <f>Source!G75</f>
        <v>Устройство покрытий из асфальтобетонных смесей вручную, толщина 4 см (до 5см)</v>
      </c>
      <c r="D127" s="17" t="str">
        <f>Source!H75</f>
        <v>100 м2</v>
      </c>
      <c r="E127" s="9">
        <f>Source!I75</f>
        <v>0.13</v>
      </c>
      <c r="F127" s="19"/>
      <c r="G127" s="18"/>
      <c r="H127" s="9"/>
      <c r="I127" s="9"/>
      <c r="J127" s="20"/>
      <c r="K127" s="20"/>
      <c r="Q127">
        <f>ROUND((Source!BZ75/100)*ROUND((Source!AF75*Source!AV75)*Source!I75, 2), 2)</f>
        <v>234.81</v>
      </c>
      <c r="R127">
        <f>Source!X75</f>
        <v>234.81</v>
      </c>
      <c r="S127">
        <f>ROUND((Source!CA75/100)*ROUND((Source!AF75*Source!AV75)*Source!I75, 2), 2)</f>
        <v>33.54</v>
      </c>
      <c r="T127">
        <f>Source!Y75</f>
        <v>33.54</v>
      </c>
      <c r="U127">
        <f>ROUND((175/100)*ROUND((Source!AE75*Source!AV75)*Source!I75, 2), 2)</f>
        <v>162.82</v>
      </c>
      <c r="V127">
        <f>ROUND((108/100)*ROUND(Source!CS75*Source!I75, 2), 2)</f>
        <v>100.48</v>
      </c>
    </row>
    <row r="128" spans="1:22" x14ac:dyDescent="0.2">
      <c r="C128" s="21" t="str">
        <f>"Объем: "&amp;Source!I75&amp;"=13/"&amp;"100"</f>
        <v>Объем: 0,13=13/100</v>
      </c>
    </row>
    <row r="129" spans="1:22" ht="14.25" x14ac:dyDescent="0.2">
      <c r="A129" s="15"/>
      <c r="B129" s="16"/>
      <c r="C129" s="16" t="s">
        <v>360</v>
      </c>
      <c r="D129" s="17"/>
      <c r="E129" s="9"/>
      <c r="F129" s="19">
        <f>Source!AO75</f>
        <v>2580.34</v>
      </c>
      <c r="G129" s="18" t="str">
        <f>Source!DG75</f>
        <v/>
      </c>
      <c r="H129" s="9">
        <f>Source!AV75</f>
        <v>1</v>
      </c>
      <c r="I129" s="9">
        <f>IF(Source!BA75&lt;&gt; 0, Source!BA75, 1)</f>
        <v>1</v>
      </c>
      <c r="J129" s="20">
        <f>Source!S75</f>
        <v>335.44</v>
      </c>
      <c r="K129" s="20"/>
    </row>
    <row r="130" spans="1:22" ht="14.25" x14ac:dyDescent="0.2">
      <c r="A130" s="15"/>
      <c r="B130" s="16"/>
      <c r="C130" s="16" t="s">
        <v>361</v>
      </c>
      <c r="D130" s="17"/>
      <c r="E130" s="9"/>
      <c r="F130" s="19">
        <f>Source!AM75</f>
        <v>1235.5</v>
      </c>
      <c r="G130" s="18" t="str">
        <f>Source!DE75</f>
        <v/>
      </c>
      <c r="H130" s="9">
        <f>Source!AV75</f>
        <v>1</v>
      </c>
      <c r="I130" s="9">
        <f>IF(Source!BB75&lt;&gt; 0, Source!BB75, 1)</f>
        <v>1</v>
      </c>
      <c r="J130" s="20">
        <f>Source!Q75</f>
        <v>160.62</v>
      </c>
      <c r="K130" s="20"/>
    </row>
    <row r="131" spans="1:22" ht="14.25" x14ac:dyDescent="0.2">
      <c r="A131" s="15"/>
      <c r="B131" s="16"/>
      <c r="C131" s="16" t="s">
        <v>362</v>
      </c>
      <c r="D131" s="17"/>
      <c r="E131" s="9"/>
      <c r="F131" s="19">
        <f>Source!AN75</f>
        <v>715.73</v>
      </c>
      <c r="G131" s="18" t="str">
        <f>Source!DF75</f>
        <v/>
      </c>
      <c r="H131" s="9">
        <f>Source!AV75</f>
        <v>1</v>
      </c>
      <c r="I131" s="9">
        <f>IF(Source!BS75&lt;&gt; 0, Source!BS75, 1)</f>
        <v>1</v>
      </c>
      <c r="J131" s="22">
        <f>Source!R75</f>
        <v>93.04</v>
      </c>
      <c r="K131" s="20"/>
    </row>
    <row r="132" spans="1:22" ht="14.25" x14ac:dyDescent="0.2">
      <c r="A132" s="15"/>
      <c r="B132" s="16"/>
      <c r="C132" s="16" t="s">
        <v>369</v>
      </c>
      <c r="D132" s="17"/>
      <c r="E132" s="9"/>
      <c r="F132" s="19">
        <f>Source!AL75</f>
        <v>22172.43</v>
      </c>
      <c r="G132" s="18" t="str">
        <f>Source!DD75</f>
        <v>/4*5</v>
      </c>
      <c r="H132" s="9">
        <f>Source!AW75</f>
        <v>1</v>
      </c>
      <c r="I132" s="9">
        <f>IF(Source!BC75&lt;&gt; 0, Source!BC75, 1)</f>
        <v>1</v>
      </c>
      <c r="J132" s="20">
        <f>Source!P75</f>
        <v>3603.02</v>
      </c>
      <c r="K132" s="20"/>
    </row>
    <row r="133" spans="1:22" ht="14.25" x14ac:dyDescent="0.2">
      <c r="A133" s="15"/>
      <c r="B133" s="16"/>
      <c r="C133" s="16" t="s">
        <v>363</v>
      </c>
      <c r="D133" s="17" t="s">
        <v>364</v>
      </c>
      <c r="E133" s="9">
        <f>Source!AT75</f>
        <v>70</v>
      </c>
      <c r="F133" s="19"/>
      <c r="G133" s="18"/>
      <c r="H133" s="9"/>
      <c r="I133" s="9"/>
      <c r="J133" s="20">
        <f>SUM(R127:R132)</f>
        <v>234.81</v>
      </c>
      <c r="K133" s="20"/>
    </row>
    <row r="134" spans="1:22" ht="14.25" x14ac:dyDescent="0.2">
      <c r="A134" s="15"/>
      <c r="B134" s="16"/>
      <c r="C134" s="16" t="s">
        <v>365</v>
      </c>
      <c r="D134" s="17" t="s">
        <v>364</v>
      </c>
      <c r="E134" s="9">
        <f>Source!AU75</f>
        <v>10</v>
      </c>
      <c r="F134" s="19"/>
      <c r="G134" s="18"/>
      <c r="H134" s="9"/>
      <c r="I134" s="9"/>
      <c r="J134" s="20">
        <f>SUM(T127:T133)</f>
        <v>33.54</v>
      </c>
      <c r="K134" s="20"/>
    </row>
    <row r="135" spans="1:22" ht="14.25" x14ac:dyDescent="0.2">
      <c r="A135" s="15"/>
      <c r="B135" s="16"/>
      <c r="C135" s="16" t="s">
        <v>366</v>
      </c>
      <c r="D135" s="17" t="s">
        <v>364</v>
      </c>
      <c r="E135" s="9">
        <f>108</f>
        <v>108</v>
      </c>
      <c r="F135" s="19"/>
      <c r="G135" s="18"/>
      <c r="H135" s="9"/>
      <c r="I135" s="9"/>
      <c r="J135" s="20">
        <f>SUM(V127:V134)</f>
        <v>100.48</v>
      </c>
      <c r="K135" s="20"/>
    </row>
    <row r="136" spans="1:22" ht="14.25" x14ac:dyDescent="0.2">
      <c r="A136" s="15"/>
      <c r="B136" s="16"/>
      <c r="C136" s="16" t="s">
        <v>367</v>
      </c>
      <c r="D136" s="17" t="s">
        <v>368</v>
      </c>
      <c r="E136" s="9">
        <f>Source!AQ75</f>
        <v>13.57</v>
      </c>
      <c r="F136" s="19"/>
      <c r="G136" s="18" t="str">
        <f>Source!DI75</f>
        <v/>
      </c>
      <c r="H136" s="9">
        <f>Source!AV75</f>
        <v>1</v>
      </c>
      <c r="I136" s="9"/>
      <c r="J136" s="20"/>
      <c r="K136" s="20">
        <f>Source!U75</f>
        <v>1.7641</v>
      </c>
    </row>
    <row r="137" spans="1:22" ht="15" x14ac:dyDescent="0.25">
      <c r="A137" s="25"/>
      <c r="B137" s="25"/>
      <c r="C137" s="25"/>
      <c r="D137" s="25"/>
      <c r="E137" s="25"/>
      <c r="F137" s="25"/>
      <c r="G137" s="25"/>
      <c r="H137" s="25"/>
      <c r="I137" s="45">
        <f>J129+J130+J132+J133+J134+J135</f>
        <v>4467.91</v>
      </c>
      <c r="J137" s="45"/>
      <c r="K137" s="26">
        <f>IF(Source!I75&lt;&gt;0, ROUND(I137/Source!I75, 2), 0)</f>
        <v>34368.54</v>
      </c>
      <c r="P137" s="23">
        <f>I137</f>
        <v>4467.91</v>
      </c>
    </row>
    <row r="139" spans="1:22" ht="15" x14ac:dyDescent="0.25">
      <c r="A139" s="48" t="str">
        <f>CONCATENATE("Итого по разделу: ",IF(Source!G77&lt;&gt;"Новый раздел", Source!G77, ""))</f>
        <v>Итого по разделу: Устройство асфальтобетонного покрытия - 13м2</v>
      </c>
      <c r="B139" s="48"/>
      <c r="C139" s="48"/>
      <c r="D139" s="48"/>
      <c r="E139" s="48"/>
      <c r="F139" s="48"/>
      <c r="G139" s="48"/>
      <c r="H139" s="48"/>
      <c r="I139" s="46">
        <f>SUM(P86:P138)</f>
        <v>12209.81</v>
      </c>
      <c r="J139" s="47"/>
      <c r="K139" s="27"/>
    </row>
    <row r="142" spans="1:22" ht="16.5" x14ac:dyDescent="0.25">
      <c r="A142" s="49" t="str">
        <f>CONCATENATE("Раздел: ",IF(Source!G106&lt;&gt;"Новый раздел", Source!G106, ""))</f>
        <v>Раздел: Ремонт отмостки - 85м2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</row>
    <row r="143" spans="1:22" ht="28.5" x14ac:dyDescent="0.2">
      <c r="A143" s="15" t="str">
        <f>Source!E110</f>
        <v>15</v>
      </c>
      <c r="B143" s="16" t="str">
        <f>Source!F110</f>
        <v>2.1-3104-1-4/1</v>
      </c>
      <c r="C143" s="16" t="str">
        <f>Source!G110</f>
        <v>Разборка покрытий и оснований асфальтобетонных</v>
      </c>
      <c r="D143" s="17" t="str">
        <f>Source!H110</f>
        <v>100 м3</v>
      </c>
      <c r="E143" s="9">
        <f>Source!I110</f>
        <v>4.2500000000000003E-2</v>
      </c>
      <c r="F143" s="19"/>
      <c r="G143" s="18"/>
      <c r="H143" s="9"/>
      <c r="I143" s="9"/>
      <c r="J143" s="20"/>
      <c r="K143" s="20"/>
      <c r="Q143">
        <f>ROUND((Source!BZ110/100)*ROUND((Source!AF110*Source!AV110)*Source!I110, 2), 2)</f>
        <v>744.81</v>
      </c>
      <c r="R143">
        <f>Source!X110</f>
        <v>744.81</v>
      </c>
      <c r="S143">
        <f>ROUND((Source!CA110/100)*ROUND((Source!AF110*Source!AV110)*Source!I110, 2), 2)</f>
        <v>106.4</v>
      </c>
      <c r="T143">
        <f>Source!Y110</f>
        <v>106.4</v>
      </c>
      <c r="U143">
        <f>ROUND((175/100)*ROUND((Source!AE110*Source!AV110)*Source!I110, 2), 2)</f>
        <v>920.47</v>
      </c>
      <c r="V143">
        <f>ROUND((108/100)*ROUND(Source!CS110*Source!I110, 2), 2)</f>
        <v>568.05999999999995</v>
      </c>
    </row>
    <row r="144" spans="1:22" x14ac:dyDescent="0.2">
      <c r="C144" s="21" t="str">
        <f>"Объем: "&amp;Source!I110&amp;"=85*"&amp;"0,05/"&amp;"100"</f>
        <v>Объем: 0,0425=85*0,05/100</v>
      </c>
    </row>
    <row r="145" spans="1:22" ht="14.25" x14ac:dyDescent="0.2">
      <c r="A145" s="15"/>
      <c r="B145" s="16"/>
      <c r="C145" s="16" t="s">
        <v>360</v>
      </c>
      <c r="D145" s="17"/>
      <c r="E145" s="9"/>
      <c r="F145" s="19">
        <f>Source!AO110</f>
        <v>25035.599999999999</v>
      </c>
      <c r="G145" s="18" t="str">
        <f>Source!DG110</f>
        <v/>
      </c>
      <c r="H145" s="9">
        <f>Source!AV110</f>
        <v>1</v>
      </c>
      <c r="I145" s="9">
        <f>IF(Source!BA110&lt;&gt; 0, Source!BA110, 1)</f>
        <v>1</v>
      </c>
      <c r="J145" s="20">
        <f>Source!S110</f>
        <v>1064.01</v>
      </c>
      <c r="K145" s="20"/>
    </row>
    <row r="146" spans="1:22" ht="14.25" x14ac:dyDescent="0.2">
      <c r="A146" s="15"/>
      <c r="B146" s="16"/>
      <c r="C146" s="16" t="s">
        <v>361</v>
      </c>
      <c r="D146" s="17"/>
      <c r="E146" s="9"/>
      <c r="F146" s="19">
        <f>Source!AM110</f>
        <v>23380.83</v>
      </c>
      <c r="G146" s="18" t="str">
        <f>Source!DE110</f>
        <v/>
      </c>
      <c r="H146" s="9">
        <f>Source!AV110</f>
        <v>1</v>
      </c>
      <c r="I146" s="9">
        <f>IF(Source!BB110&lt;&gt; 0, Source!BB110, 1)</f>
        <v>1</v>
      </c>
      <c r="J146" s="20">
        <f>Source!Q110</f>
        <v>993.69</v>
      </c>
      <c r="K146" s="20"/>
    </row>
    <row r="147" spans="1:22" ht="14.25" x14ac:dyDescent="0.2">
      <c r="A147" s="15"/>
      <c r="B147" s="16"/>
      <c r="C147" s="16" t="s">
        <v>362</v>
      </c>
      <c r="D147" s="17"/>
      <c r="E147" s="9"/>
      <c r="F147" s="19">
        <f>Source!AN110</f>
        <v>12376.07</v>
      </c>
      <c r="G147" s="18" t="str">
        <f>Source!DF110</f>
        <v/>
      </c>
      <c r="H147" s="9">
        <f>Source!AV110</f>
        <v>1</v>
      </c>
      <c r="I147" s="9">
        <f>IF(Source!BS110&lt;&gt; 0, Source!BS110, 1)</f>
        <v>1</v>
      </c>
      <c r="J147" s="22">
        <f>Source!R110</f>
        <v>525.98</v>
      </c>
      <c r="K147" s="20"/>
    </row>
    <row r="148" spans="1:22" ht="14.25" x14ac:dyDescent="0.2">
      <c r="A148" s="15"/>
      <c r="B148" s="16"/>
      <c r="C148" s="16" t="s">
        <v>363</v>
      </c>
      <c r="D148" s="17" t="s">
        <v>364</v>
      </c>
      <c r="E148" s="9">
        <f>Source!AT110</f>
        <v>70</v>
      </c>
      <c r="F148" s="19"/>
      <c r="G148" s="18"/>
      <c r="H148" s="9"/>
      <c r="I148" s="9"/>
      <c r="J148" s="20">
        <f>SUM(R143:R147)</f>
        <v>744.81</v>
      </c>
      <c r="K148" s="20"/>
    </row>
    <row r="149" spans="1:22" ht="14.25" x14ac:dyDescent="0.2">
      <c r="A149" s="15"/>
      <c r="B149" s="16"/>
      <c r="C149" s="16" t="s">
        <v>365</v>
      </c>
      <c r="D149" s="17" t="s">
        <v>364</v>
      </c>
      <c r="E149" s="9">
        <f>Source!AU110</f>
        <v>10</v>
      </c>
      <c r="F149" s="19"/>
      <c r="G149" s="18"/>
      <c r="H149" s="9"/>
      <c r="I149" s="9"/>
      <c r="J149" s="20">
        <f>SUM(T143:T148)</f>
        <v>106.4</v>
      </c>
      <c r="K149" s="20"/>
    </row>
    <row r="150" spans="1:22" ht="14.25" x14ac:dyDescent="0.2">
      <c r="A150" s="15"/>
      <c r="B150" s="16"/>
      <c r="C150" s="16" t="s">
        <v>366</v>
      </c>
      <c r="D150" s="17" t="s">
        <v>364</v>
      </c>
      <c r="E150" s="9">
        <f>108</f>
        <v>108</v>
      </c>
      <c r="F150" s="19"/>
      <c r="G150" s="18"/>
      <c r="H150" s="9"/>
      <c r="I150" s="9"/>
      <c r="J150" s="20">
        <f>SUM(V143:V149)</f>
        <v>568.05999999999995</v>
      </c>
      <c r="K150" s="20"/>
    </row>
    <row r="151" spans="1:22" ht="14.25" x14ac:dyDescent="0.2">
      <c r="A151" s="15"/>
      <c r="B151" s="16"/>
      <c r="C151" s="16" t="s">
        <v>367</v>
      </c>
      <c r="D151" s="17" t="s">
        <v>368</v>
      </c>
      <c r="E151" s="9">
        <f>Source!AQ110</f>
        <v>155</v>
      </c>
      <c r="F151" s="19"/>
      <c r="G151" s="18" t="str">
        <f>Source!DI110</f>
        <v/>
      </c>
      <c r="H151" s="9">
        <f>Source!AV110</f>
        <v>1</v>
      </c>
      <c r="I151" s="9"/>
      <c r="J151" s="20"/>
      <c r="K151" s="20">
        <f>Source!U110</f>
        <v>6.5875000000000004</v>
      </c>
    </row>
    <row r="152" spans="1:22" ht="15" x14ac:dyDescent="0.25">
      <c r="A152" s="25"/>
      <c r="B152" s="25"/>
      <c r="C152" s="25"/>
      <c r="D152" s="25"/>
      <c r="E152" s="25"/>
      <c r="F152" s="25"/>
      <c r="G152" s="25"/>
      <c r="H152" s="25"/>
      <c r="I152" s="45">
        <f>J145+J146+J148+J149+J150</f>
        <v>3476.97</v>
      </c>
      <c r="J152" s="45"/>
      <c r="K152" s="26">
        <f>IF(Source!I110&lt;&gt;0, ROUND(I152/Source!I110, 2), 0)</f>
        <v>81811.06</v>
      </c>
      <c r="P152" s="23">
        <f>I152</f>
        <v>3476.97</v>
      </c>
    </row>
    <row r="153" spans="1:22" ht="28.5" x14ac:dyDescent="0.2">
      <c r="A153" s="15" t="str">
        <f>Source!E111</f>
        <v>16</v>
      </c>
      <c r="B153" s="16" t="str">
        <f>Source!F111</f>
        <v>2.1-3104-1-2/1</v>
      </c>
      <c r="C153" s="16" t="str">
        <f>Source!G111</f>
        <v>Разборка покрытий и оснований щебеночных</v>
      </c>
      <c r="D153" s="17" t="str">
        <f>Source!H111</f>
        <v>100 м3</v>
      </c>
      <c r="E153" s="9">
        <f>Source!I111</f>
        <v>0.21249999999999999</v>
      </c>
      <c r="F153" s="19"/>
      <c r="G153" s="18"/>
      <c r="H153" s="9"/>
      <c r="I153" s="9"/>
      <c r="J153" s="20"/>
      <c r="K153" s="20"/>
      <c r="Q153">
        <f>ROUND((Source!BZ111/100)*ROUND((Source!AF111*Source!AV111)*Source!I111, 2), 2)</f>
        <v>185.89</v>
      </c>
      <c r="R153">
        <f>Source!X111</f>
        <v>185.89</v>
      </c>
      <c r="S153">
        <f>ROUND((Source!CA111/100)*ROUND((Source!AF111*Source!AV111)*Source!I111, 2), 2)</f>
        <v>26.56</v>
      </c>
      <c r="T153">
        <f>Source!Y111</f>
        <v>26.56</v>
      </c>
      <c r="U153">
        <f>ROUND((175/100)*ROUND((Source!AE111*Source!AV111)*Source!I111, 2), 2)</f>
        <v>485.12</v>
      </c>
      <c r="V153">
        <f>ROUND((108/100)*ROUND(Source!CS111*Source!I111, 2), 2)</f>
        <v>299.39</v>
      </c>
    </row>
    <row r="154" spans="1:22" x14ac:dyDescent="0.2">
      <c r="C154" s="21" t="str">
        <f>"Объем: "&amp;Source!I111&amp;"=85*"&amp;"0,25/"&amp;"100"</f>
        <v>Объем: 0,2125=85*0,25/100</v>
      </c>
    </row>
    <row r="155" spans="1:22" ht="14.25" x14ac:dyDescent="0.2">
      <c r="A155" s="15"/>
      <c r="B155" s="16"/>
      <c r="C155" s="16" t="s">
        <v>360</v>
      </c>
      <c r="D155" s="17"/>
      <c r="E155" s="9"/>
      <c r="F155" s="19">
        <f>Source!AO111</f>
        <v>1249.68</v>
      </c>
      <c r="G155" s="18" t="str">
        <f>Source!DG111</f>
        <v/>
      </c>
      <c r="H155" s="9">
        <f>Source!AV111</f>
        <v>1</v>
      </c>
      <c r="I155" s="9">
        <f>IF(Source!BA111&lt;&gt; 0, Source!BA111, 1)</f>
        <v>1</v>
      </c>
      <c r="J155" s="20">
        <f>Source!S111</f>
        <v>265.56</v>
      </c>
      <c r="K155" s="20"/>
    </row>
    <row r="156" spans="1:22" ht="14.25" x14ac:dyDescent="0.2">
      <c r="A156" s="15"/>
      <c r="B156" s="16"/>
      <c r="C156" s="16" t="s">
        <v>361</v>
      </c>
      <c r="D156" s="17"/>
      <c r="E156" s="9"/>
      <c r="F156" s="19">
        <f>Source!AM111</f>
        <v>3122.35</v>
      </c>
      <c r="G156" s="18" t="str">
        <f>Source!DE111</f>
        <v/>
      </c>
      <c r="H156" s="9">
        <f>Source!AV111</f>
        <v>1</v>
      </c>
      <c r="I156" s="9">
        <f>IF(Source!BB111&lt;&gt; 0, Source!BB111, 1)</f>
        <v>1</v>
      </c>
      <c r="J156" s="20">
        <f>Source!Q111</f>
        <v>663.5</v>
      </c>
      <c r="K156" s="20"/>
    </row>
    <row r="157" spans="1:22" ht="14.25" x14ac:dyDescent="0.2">
      <c r="A157" s="15"/>
      <c r="B157" s="16"/>
      <c r="C157" s="16" t="s">
        <v>362</v>
      </c>
      <c r="D157" s="17"/>
      <c r="E157" s="9"/>
      <c r="F157" s="19">
        <f>Source!AN111</f>
        <v>1304.54</v>
      </c>
      <c r="G157" s="18" t="str">
        <f>Source!DF111</f>
        <v/>
      </c>
      <c r="H157" s="9">
        <f>Source!AV111</f>
        <v>1</v>
      </c>
      <c r="I157" s="9">
        <f>IF(Source!BS111&lt;&gt; 0, Source!BS111, 1)</f>
        <v>1</v>
      </c>
      <c r="J157" s="22">
        <f>Source!R111</f>
        <v>277.20999999999998</v>
      </c>
      <c r="K157" s="20"/>
    </row>
    <row r="158" spans="1:22" ht="14.25" x14ac:dyDescent="0.2">
      <c r="A158" s="15"/>
      <c r="B158" s="16"/>
      <c r="C158" s="16" t="s">
        <v>363</v>
      </c>
      <c r="D158" s="17" t="s">
        <v>364</v>
      </c>
      <c r="E158" s="9">
        <f>Source!AT111</f>
        <v>70</v>
      </c>
      <c r="F158" s="19"/>
      <c r="G158" s="18"/>
      <c r="H158" s="9"/>
      <c r="I158" s="9"/>
      <c r="J158" s="20">
        <f>SUM(R153:R157)</f>
        <v>185.89</v>
      </c>
      <c r="K158" s="20"/>
    </row>
    <row r="159" spans="1:22" ht="14.25" x14ac:dyDescent="0.2">
      <c r="A159" s="15"/>
      <c r="B159" s="16"/>
      <c r="C159" s="16" t="s">
        <v>365</v>
      </c>
      <c r="D159" s="17" t="s">
        <v>364</v>
      </c>
      <c r="E159" s="9">
        <f>Source!AU111</f>
        <v>10</v>
      </c>
      <c r="F159" s="19"/>
      <c r="G159" s="18"/>
      <c r="H159" s="9"/>
      <c r="I159" s="9"/>
      <c r="J159" s="20">
        <f>SUM(T153:T158)</f>
        <v>26.56</v>
      </c>
      <c r="K159" s="20"/>
    </row>
    <row r="160" spans="1:22" ht="14.25" x14ac:dyDescent="0.2">
      <c r="A160" s="15"/>
      <c r="B160" s="16"/>
      <c r="C160" s="16" t="s">
        <v>366</v>
      </c>
      <c r="D160" s="17" t="s">
        <v>364</v>
      </c>
      <c r="E160" s="9">
        <f>108</f>
        <v>108</v>
      </c>
      <c r="F160" s="19"/>
      <c r="G160" s="18"/>
      <c r="H160" s="9"/>
      <c r="I160" s="9"/>
      <c r="J160" s="20">
        <f>SUM(V153:V159)</f>
        <v>299.39</v>
      </c>
      <c r="K160" s="20"/>
    </row>
    <row r="161" spans="1:22" ht="14.25" x14ac:dyDescent="0.2">
      <c r="A161" s="15"/>
      <c r="B161" s="16"/>
      <c r="C161" s="16" t="s">
        <v>367</v>
      </c>
      <c r="D161" s="17" t="s">
        <v>368</v>
      </c>
      <c r="E161" s="9">
        <f>Source!AQ111</f>
        <v>11.7</v>
      </c>
      <c r="F161" s="19"/>
      <c r="G161" s="18" t="str">
        <f>Source!DI111</f>
        <v/>
      </c>
      <c r="H161" s="9">
        <f>Source!AV111</f>
        <v>1</v>
      </c>
      <c r="I161" s="9"/>
      <c r="J161" s="20"/>
      <c r="K161" s="20">
        <f>Source!U111</f>
        <v>2.4862499999999996</v>
      </c>
    </row>
    <row r="162" spans="1:22" ht="15" x14ac:dyDescent="0.25">
      <c r="A162" s="25"/>
      <c r="B162" s="25"/>
      <c r="C162" s="25"/>
      <c r="D162" s="25"/>
      <c r="E162" s="25"/>
      <c r="F162" s="25"/>
      <c r="G162" s="25"/>
      <c r="H162" s="25"/>
      <c r="I162" s="45">
        <f>J155+J156+J158+J159+J160</f>
        <v>1440.8999999999996</v>
      </c>
      <c r="J162" s="45"/>
      <c r="K162" s="26">
        <f>IF(Source!I111&lt;&gt;0, ROUND(I162/Source!I111, 2), 0)</f>
        <v>6780.71</v>
      </c>
      <c r="P162" s="23">
        <f>I162</f>
        <v>1440.8999999999996</v>
      </c>
    </row>
    <row r="163" spans="1:22" ht="42.75" x14ac:dyDescent="0.2">
      <c r="A163" s="15" t="str">
        <f>Source!E112</f>
        <v>17</v>
      </c>
      <c r="B163" s="16" t="str">
        <f>Source!F112</f>
        <v>1.49-9101-7-1/1</v>
      </c>
      <c r="C163" s="16" t="str">
        <f>Source!G112</f>
        <v>Механизированная погрузка строительного мусора в автомобили-самосвалы</v>
      </c>
      <c r="D163" s="17" t="str">
        <f>Source!H112</f>
        <v>т</v>
      </c>
      <c r="E163" s="9">
        <f>Source!I112</f>
        <v>28.25</v>
      </c>
      <c r="F163" s="19"/>
      <c r="G163" s="18"/>
      <c r="H163" s="9"/>
      <c r="I163" s="9"/>
      <c r="J163" s="20"/>
      <c r="K163" s="20"/>
      <c r="Q163">
        <f>ROUND((Source!BZ112/100)*ROUND((Source!AF112*Source!AV112)*Source!I112, 2), 2)</f>
        <v>0</v>
      </c>
      <c r="R163">
        <f>Source!X112</f>
        <v>0</v>
      </c>
      <c r="S163">
        <f>ROUND((Source!CA112/100)*ROUND((Source!AF112*Source!AV112)*Source!I112, 2), 2)</f>
        <v>0</v>
      </c>
      <c r="T163">
        <f>Source!Y112</f>
        <v>0</v>
      </c>
      <c r="U163">
        <f>ROUND((175/100)*ROUND((Source!AE112*Source!AV112)*Source!I112, 2), 2)</f>
        <v>1383.76</v>
      </c>
      <c r="V163">
        <f>ROUND((108/100)*ROUND(Source!CS112*Source!I112, 2), 2)</f>
        <v>853.98</v>
      </c>
    </row>
    <row r="164" spans="1:22" ht="14.25" x14ac:dyDescent="0.2">
      <c r="A164" s="15"/>
      <c r="B164" s="16"/>
      <c r="C164" s="16" t="s">
        <v>361</v>
      </c>
      <c r="D164" s="17"/>
      <c r="E164" s="9"/>
      <c r="F164" s="19">
        <f>Source!AM112</f>
        <v>69.599999999999994</v>
      </c>
      <c r="G164" s="18" t="str">
        <f>Source!DE112</f>
        <v/>
      </c>
      <c r="H164" s="9">
        <f>Source!AV112</f>
        <v>1</v>
      </c>
      <c r="I164" s="9">
        <f>IF(Source!BB112&lt;&gt; 0, Source!BB112, 1)</f>
        <v>1</v>
      </c>
      <c r="J164" s="20">
        <f>Source!Q112</f>
        <v>1966.2</v>
      </c>
      <c r="K164" s="20"/>
    </row>
    <row r="165" spans="1:22" ht="14.25" x14ac:dyDescent="0.2">
      <c r="A165" s="15"/>
      <c r="B165" s="16"/>
      <c r="C165" s="16" t="s">
        <v>362</v>
      </c>
      <c r="D165" s="17"/>
      <c r="E165" s="9"/>
      <c r="F165" s="19">
        <f>Source!AN112</f>
        <v>27.99</v>
      </c>
      <c r="G165" s="18" t="str">
        <f>Source!DF112</f>
        <v/>
      </c>
      <c r="H165" s="9">
        <f>Source!AV112</f>
        <v>1</v>
      </c>
      <c r="I165" s="9">
        <f>IF(Source!BS112&lt;&gt; 0, Source!BS112, 1)</f>
        <v>1</v>
      </c>
      <c r="J165" s="22">
        <f>Source!R112</f>
        <v>790.72</v>
      </c>
      <c r="K165" s="20"/>
    </row>
    <row r="166" spans="1:22" ht="14.25" x14ac:dyDescent="0.2">
      <c r="A166" s="15"/>
      <c r="B166" s="16"/>
      <c r="C166" s="16" t="s">
        <v>366</v>
      </c>
      <c r="D166" s="17" t="s">
        <v>364</v>
      </c>
      <c r="E166" s="9">
        <f>108</f>
        <v>108</v>
      </c>
      <c r="F166" s="19"/>
      <c r="G166" s="18"/>
      <c r="H166" s="9"/>
      <c r="I166" s="9"/>
      <c r="J166" s="20">
        <f>SUM(V163:V165)</f>
        <v>853.98</v>
      </c>
      <c r="K166" s="20"/>
    </row>
    <row r="167" spans="1:22" ht="15" x14ac:dyDescent="0.25">
      <c r="A167" s="25"/>
      <c r="B167" s="25"/>
      <c r="C167" s="25"/>
      <c r="D167" s="25"/>
      <c r="E167" s="25"/>
      <c r="F167" s="25"/>
      <c r="G167" s="25"/>
      <c r="H167" s="25"/>
      <c r="I167" s="45">
        <f>J164+J166</f>
        <v>2820.1800000000003</v>
      </c>
      <c r="J167" s="45"/>
      <c r="K167" s="26">
        <f>IF(Source!I112&lt;&gt;0, ROUND(I167/Source!I112, 2), 0)</f>
        <v>99.83</v>
      </c>
      <c r="P167" s="23">
        <f>I167</f>
        <v>2820.1800000000003</v>
      </c>
    </row>
    <row r="168" spans="1:22" ht="57" x14ac:dyDescent="0.2">
      <c r="A168" s="15" t="str">
        <f>Source!E113</f>
        <v>18</v>
      </c>
      <c r="B168" s="16" t="str">
        <f>Source!F113</f>
        <v>1.49-9201-1-2/1</v>
      </c>
      <c r="C168" s="16" t="str">
        <f>Source!G113</f>
        <v>Перевозка строительного мусора автосамосвалами грузоподъемностью до 10 т на расстояние 1 км - при механизированной погрузке</v>
      </c>
      <c r="D168" s="17" t="str">
        <f>Source!H113</f>
        <v>т</v>
      </c>
      <c r="E168" s="9">
        <f>Source!I113</f>
        <v>28.25</v>
      </c>
      <c r="F168" s="19"/>
      <c r="G168" s="18"/>
      <c r="H168" s="9"/>
      <c r="I168" s="9"/>
      <c r="J168" s="20"/>
      <c r="K168" s="20"/>
      <c r="Q168">
        <f>ROUND((Source!BZ113/100)*ROUND((Source!AF113*Source!AV113)*Source!I113, 2), 2)</f>
        <v>0</v>
      </c>
      <c r="R168">
        <f>Source!X113</f>
        <v>0</v>
      </c>
      <c r="S168">
        <f>ROUND((Source!CA113/100)*ROUND((Source!AF113*Source!AV113)*Source!I113, 2), 2)</f>
        <v>0</v>
      </c>
      <c r="T168">
        <f>Source!Y113</f>
        <v>0</v>
      </c>
      <c r="U168">
        <f>ROUND((175/100)*ROUND((Source!AE113*Source!AV113)*Source!I113, 2), 2)</f>
        <v>2356.69</v>
      </c>
      <c r="V168">
        <f>ROUND((108/100)*ROUND(Source!CS113*Source!I113, 2), 2)</f>
        <v>1454.41</v>
      </c>
    </row>
    <row r="169" spans="1:22" ht="14.25" x14ac:dyDescent="0.2">
      <c r="A169" s="15"/>
      <c r="B169" s="16"/>
      <c r="C169" s="16" t="s">
        <v>361</v>
      </c>
      <c r="D169" s="17"/>
      <c r="E169" s="9"/>
      <c r="F169" s="19">
        <f>Source!AM113</f>
        <v>63.51</v>
      </c>
      <c r="G169" s="18" t="str">
        <f>Source!DE113</f>
        <v/>
      </c>
      <c r="H169" s="9">
        <f>Source!AV113</f>
        <v>1</v>
      </c>
      <c r="I169" s="9">
        <f>IF(Source!BB113&lt;&gt; 0, Source!BB113, 1)</f>
        <v>1</v>
      </c>
      <c r="J169" s="20">
        <f>Source!Q113</f>
        <v>1794.16</v>
      </c>
      <c r="K169" s="20"/>
    </row>
    <row r="170" spans="1:22" ht="14.25" x14ac:dyDescent="0.2">
      <c r="A170" s="15"/>
      <c r="B170" s="16"/>
      <c r="C170" s="16" t="s">
        <v>362</v>
      </c>
      <c r="D170" s="17"/>
      <c r="E170" s="9"/>
      <c r="F170" s="19">
        <f>Source!AN113</f>
        <v>47.67</v>
      </c>
      <c r="G170" s="18" t="str">
        <f>Source!DF113</f>
        <v/>
      </c>
      <c r="H170" s="9">
        <f>Source!AV113</f>
        <v>1</v>
      </c>
      <c r="I170" s="9">
        <f>IF(Source!BS113&lt;&gt; 0, Source!BS113, 1)</f>
        <v>1</v>
      </c>
      <c r="J170" s="22">
        <f>Source!R113</f>
        <v>1346.68</v>
      </c>
      <c r="K170" s="20"/>
    </row>
    <row r="171" spans="1:22" ht="15" x14ac:dyDescent="0.25">
      <c r="A171" s="25"/>
      <c r="B171" s="25"/>
      <c r="C171" s="25"/>
      <c r="D171" s="25"/>
      <c r="E171" s="25"/>
      <c r="F171" s="25"/>
      <c r="G171" s="25"/>
      <c r="H171" s="25"/>
      <c r="I171" s="45">
        <f>J169</f>
        <v>1794.16</v>
      </c>
      <c r="J171" s="45"/>
      <c r="K171" s="26">
        <f>IF(Source!I113&lt;&gt;0, ROUND(I171/Source!I113, 2), 0)</f>
        <v>63.51</v>
      </c>
      <c r="P171" s="23">
        <f>I171</f>
        <v>1794.16</v>
      </c>
    </row>
    <row r="172" spans="1:22" ht="57" x14ac:dyDescent="0.2">
      <c r="A172" s="15" t="str">
        <f>Source!E114</f>
        <v>19</v>
      </c>
      <c r="B172" s="16" t="str">
        <f>Source!F114</f>
        <v>1.49-9201-1-3/1</v>
      </c>
      <c r="C172" s="16" t="str">
        <f>Source!G114</f>
        <v>Перевозка строительного мусора автосамосвалами грузоподъемностью до 10 т - добавляется на каждый последующий 1 км до 100 км</v>
      </c>
      <c r="D172" s="17" t="str">
        <f>Source!H114</f>
        <v>т</v>
      </c>
      <c r="E172" s="9">
        <f>Source!I114</f>
        <v>28.25</v>
      </c>
      <c r="F172" s="19"/>
      <c r="G172" s="18"/>
      <c r="H172" s="9"/>
      <c r="I172" s="9"/>
      <c r="J172" s="20"/>
      <c r="K172" s="20"/>
      <c r="Q172">
        <f>ROUND((Source!BZ114/100)*ROUND((Source!AF114*Source!AV114)*Source!I114, 2), 2)</f>
        <v>0</v>
      </c>
      <c r="R172">
        <f>Source!X114</f>
        <v>0</v>
      </c>
      <c r="S172">
        <f>ROUND((Source!CA114/100)*ROUND((Source!AF114*Source!AV114)*Source!I114, 2), 2)</f>
        <v>0</v>
      </c>
      <c r="T172">
        <f>Source!Y114</f>
        <v>0</v>
      </c>
      <c r="U172">
        <f>ROUND((175/100)*ROUND((Source!AE114*Source!AV114)*Source!I114, 2), 2)</f>
        <v>27796.23</v>
      </c>
      <c r="V172">
        <f>ROUND((108/100)*ROUND(Source!CS114*Source!I114, 2), 2)</f>
        <v>17154.240000000002</v>
      </c>
    </row>
    <row r="173" spans="1:22" ht="14.25" x14ac:dyDescent="0.2">
      <c r="A173" s="15"/>
      <c r="B173" s="16"/>
      <c r="C173" s="16" t="s">
        <v>361</v>
      </c>
      <c r="D173" s="17"/>
      <c r="E173" s="9"/>
      <c r="F173" s="19">
        <f>Source!AM114</f>
        <v>29.94</v>
      </c>
      <c r="G173" s="18" t="str">
        <f>Source!DE114</f>
        <v>*25</v>
      </c>
      <c r="H173" s="9">
        <f>Source!AV114</f>
        <v>1</v>
      </c>
      <c r="I173" s="9">
        <f>IF(Source!BB114&lt;&gt; 0, Source!BB114, 1)</f>
        <v>1</v>
      </c>
      <c r="J173" s="20">
        <f>Source!Q114</f>
        <v>21145.13</v>
      </c>
      <c r="K173" s="20"/>
    </row>
    <row r="174" spans="1:22" ht="14.25" x14ac:dyDescent="0.2">
      <c r="A174" s="15"/>
      <c r="B174" s="16"/>
      <c r="C174" s="16" t="s">
        <v>362</v>
      </c>
      <c r="D174" s="17"/>
      <c r="E174" s="9"/>
      <c r="F174" s="19">
        <f>Source!AN114</f>
        <v>22.49</v>
      </c>
      <c r="G174" s="18" t="str">
        <f>Source!DF114</f>
        <v>*25</v>
      </c>
      <c r="H174" s="9">
        <f>Source!AV114</f>
        <v>1</v>
      </c>
      <c r="I174" s="9">
        <f>IF(Source!BS114&lt;&gt; 0, Source!BS114, 1)</f>
        <v>1</v>
      </c>
      <c r="J174" s="22">
        <f>Source!R114</f>
        <v>15883.56</v>
      </c>
      <c r="K174" s="20"/>
    </row>
    <row r="175" spans="1:22" ht="15" x14ac:dyDescent="0.25">
      <c r="A175" s="25"/>
      <c r="B175" s="25"/>
      <c r="C175" s="25"/>
      <c r="D175" s="25"/>
      <c r="E175" s="25"/>
      <c r="F175" s="25"/>
      <c r="G175" s="25"/>
      <c r="H175" s="25"/>
      <c r="I175" s="45">
        <f>J173</f>
        <v>21145.13</v>
      </c>
      <c r="J175" s="45"/>
      <c r="K175" s="26">
        <f>IF(Source!I114&lt;&gt;0, ROUND(I175/Source!I114, 2), 0)</f>
        <v>748.5</v>
      </c>
      <c r="P175" s="23">
        <f>I175</f>
        <v>21145.13</v>
      </c>
    </row>
    <row r="176" spans="1:22" ht="42.75" x14ac:dyDescent="0.2">
      <c r="A176" s="15" t="str">
        <f>Source!E115</f>
        <v>20</v>
      </c>
      <c r="B176" s="16" t="str">
        <f>Source!F115</f>
        <v>2.1-3303-1-1/1</v>
      </c>
      <c r="C176" s="16" t="str">
        <f>Source!G115</f>
        <v>Устройство подстилающих и выравнивающих слоев оснований из песка</v>
      </c>
      <c r="D176" s="17" t="str">
        <f>Source!H115</f>
        <v>100 м3</v>
      </c>
      <c r="E176" s="9">
        <f>Source!I115</f>
        <v>8.5000000000000006E-2</v>
      </c>
      <c r="F176" s="19"/>
      <c r="G176" s="18"/>
      <c r="H176" s="9"/>
      <c r="I176" s="9"/>
      <c r="J176" s="20"/>
      <c r="K176" s="20"/>
      <c r="Q176">
        <f>ROUND((Source!BZ115/100)*ROUND((Source!AF115*Source!AV115)*Source!I115, 2), 2)</f>
        <v>152.18</v>
      </c>
      <c r="R176">
        <f>Source!X115</f>
        <v>152.18</v>
      </c>
      <c r="S176">
        <f>ROUND((Source!CA115/100)*ROUND((Source!AF115*Source!AV115)*Source!I115, 2), 2)</f>
        <v>21.74</v>
      </c>
      <c r="T176">
        <f>Source!Y115</f>
        <v>21.74</v>
      </c>
      <c r="U176">
        <f>ROUND((175/100)*ROUND((Source!AE115*Source!AV115)*Source!I115, 2), 2)</f>
        <v>397.11</v>
      </c>
      <c r="V176">
        <f>ROUND((108/100)*ROUND(Source!CS115*Source!I115, 2), 2)</f>
        <v>245.07</v>
      </c>
    </row>
    <row r="177" spans="1:22" x14ac:dyDescent="0.2">
      <c r="C177" s="21" t="str">
        <f>"Объем: "&amp;Source!I115&amp;"=85*"&amp;"0,1/"&amp;"100"</f>
        <v>Объем: 0,085=85*0,1/100</v>
      </c>
    </row>
    <row r="178" spans="1:22" ht="14.25" x14ac:dyDescent="0.2">
      <c r="A178" s="15"/>
      <c r="B178" s="16"/>
      <c r="C178" s="16" t="s">
        <v>360</v>
      </c>
      <c r="D178" s="17"/>
      <c r="E178" s="9"/>
      <c r="F178" s="19">
        <f>Source!AO115</f>
        <v>2557.69</v>
      </c>
      <c r="G178" s="18" t="str">
        <f>Source!DG115</f>
        <v/>
      </c>
      <c r="H178" s="9">
        <f>Source!AV115</f>
        <v>1</v>
      </c>
      <c r="I178" s="9">
        <f>IF(Source!BA115&lt;&gt; 0, Source!BA115, 1)</f>
        <v>1</v>
      </c>
      <c r="J178" s="20">
        <f>Source!S115</f>
        <v>217.4</v>
      </c>
      <c r="K178" s="20"/>
    </row>
    <row r="179" spans="1:22" ht="14.25" x14ac:dyDescent="0.2">
      <c r="A179" s="15"/>
      <c r="B179" s="16"/>
      <c r="C179" s="16" t="s">
        <v>361</v>
      </c>
      <c r="D179" s="17"/>
      <c r="E179" s="9"/>
      <c r="F179" s="19">
        <f>Source!AM115</f>
        <v>7173.55</v>
      </c>
      <c r="G179" s="18" t="str">
        <f>Source!DE115</f>
        <v/>
      </c>
      <c r="H179" s="9">
        <f>Source!AV115</f>
        <v>1</v>
      </c>
      <c r="I179" s="9">
        <f>IF(Source!BB115&lt;&gt; 0, Source!BB115, 1)</f>
        <v>1</v>
      </c>
      <c r="J179" s="20">
        <f>Source!Q115</f>
        <v>609.75</v>
      </c>
      <c r="K179" s="20"/>
    </row>
    <row r="180" spans="1:22" ht="14.25" x14ac:dyDescent="0.2">
      <c r="A180" s="15"/>
      <c r="B180" s="16"/>
      <c r="C180" s="16" t="s">
        <v>362</v>
      </c>
      <c r="D180" s="17"/>
      <c r="E180" s="9"/>
      <c r="F180" s="19">
        <f>Source!AN115</f>
        <v>2669.64</v>
      </c>
      <c r="G180" s="18" t="str">
        <f>Source!DF115</f>
        <v/>
      </c>
      <c r="H180" s="9">
        <f>Source!AV115</f>
        <v>1</v>
      </c>
      <c r="I180" s="9">
        <f>IF(Source!BS115&lt;&gt; 0, Source!BS115, 1)</f>
        <v>1</v>
      </c>
      <c r="J180" s="22">
        <f>Source!R115</f>
        <v>226.92</v>
      </c>
      <c r="K180" s="20"/>
    </row>
    <row r="181" spans="1:22" ht="14.25" x14ac:dyDescent="0.2">
      <c r="A181" s="15"/>
      <c r="B181" s="16"/>
      <c r="C181" s="16" t="s">
        <v>369</v>
      </c>
      <c r="D181" s="17"/>
      <c r="E181" s="9"/>
      <c r="F181" s="19">
        <f>Source!AL115</f>
        <v>61659.15</v>
      </c>
      <c r="G181" s="18" t="str">
        <f>Source!DD115</f>
        <v/>
      </c>
      <c r="H181" s="9">
        <f>Source!AW115</f>
        <v>1</v>
      </c>
      <c r="I181" s="9">
        <f>IF(Source!BC115&lt;&gt; 0, Source!BC115, 1)</f>
        <v>1</v>
      </c>
      <c r="J181" s="20">
        <f>Source!P115</f>
        <v>5241.03</v>
      </c>
      <c r="K181" s="20"/>
    </row>
    <row r="182" spans="1:22" ht="14.25" x14ac:dyDescent="0.2">
      <c r="A182" s="15"/>
      <c r="B182" s="16"/>
      <c r="C182" s="16" t="s">
        <v>363</v>
      </c>
      <c r="D182" s="17" t="s">
        <v>364</v>
      </c>
      <c r="E182" s="9">
        <f>Source!AT115</f>
        <v>70</v>
      </c>
      <c r="F182" s="19"/>
      <c r="G182" s="18"/>
      <c r="H182" s="9"/>
      <c r="I182" s="9"/>
      <c r="J182" s="20">
        <f>SUM(R176:R181)</f>
        <v>152.18</v>
      </c>
      <c r="K182" s="20"/>
    </row>
    <row r="183" spans="1:22" ht="14.25" x14ac:dyDescent="0.2">
      <c r="A183" s="15"/>
      <c r="B183" s="16"/>
      <c r="C183" s="16" t="s">
        <v>365</v>
      </c>
      <c r="D183" s="17" t="s">
        <v>364</v>
      </c>
      <c r="E183" s="9">
        <f>Source!AU115</f>
        <v>10</v>
      </c>
      <c r="F183" s="19"/>
      <c r="G183" s="18"/>
      <c r="H183" s="9"/>
      <c r="I183" s="9"/>
      <c r="J183" s="20">
        <f>SUM(T176:T182)</f>
        <v>21.74</v>
      </c>
      <c r="K183" s="20"/>
    </row>
    <row r="184" spans="1:22" ht="14.25" x14ac:dyDescent="0.2">
      <c r="A184" s="15"/>
      <c r="B184" s="16"/>
      <c r="C184" s="16" t="s">
        <v>366</v>
      </c>
      <c r="D184" s="17" t="s">
        <v>364</v>
      </c>
      <c r="E184" s="9">
        <f>108</f>
        <v>108</v>
      </c>
      <c r="F184" s="19"/>
      <c r="G184" s="18"/>
      <c r="H184" s="9"/>
      <c r="I184" s="9"/>
      <c r="J184" s="20">
        <f>SUM(V176:V183)</f>
        <v>245.07</v>
      </c>
      <c r="K184" s="20"/>
    </row>
    <row r="185" spans="1:22" ht="14.25" x14ac:dyDescent="0.2">
      <c r="A185" s="15"/>
      <c r="B185" s="16"/>
      <c r="C185" s="16" t="s">
        <v>367</v>
      </c>
      <c r="D185" s="17" t="s">
        <v>368</v>
      </c>
      <c r="E185" s="9">
        <f>Source!AQ115</f>
        <v>16.559999999999999</v>
      </c>
      <c r="F185" s="19"/>
      <c r="G185" s="18" t="str">
        <f>Source!DI115</f>
        <v/>
      </c>
      <c r="H185" s="9">
        <f>Source!AV115</f>
        <v>1</v>
      </c>
      <c r="I185" s="9"/>
      <c r="J185" s="20"/>
      <c r="K185" s="20">
        <f>Source!U115</f>
        <v>1.4076</v>
      </c>
    </row>
    <row r="186" spans="1:22" ht="15" x14ac:dyDescent="0.25">
      <c r="A186" s="25"/>
      <c r="B186" s="25"/>
      <c r="C186" s="25"/>
      <c r="D186" s="25"/>
      <c r="E186" s="25"/>
      <c r="F186" s="25"/>
      <c r="G186" s="25"/>
      <c r="H186" s="25"/>
      <c r="I186" s="45">
        <f>J178+J179+J181+J182+J183+J184</f>
        <v>6487.1699999999992</v>
      </c>
      <c r="J186" s="45"/>
      <c r="K186" s="26">
        <f>IF(Source!I115&lt;&gt;0, ROUND(I186/Source!I115, 2), 0)</f>
        <v>76319.649999999994</v>
      </c>
      <c r="P186" s="23">
        <f>I186</f>
        <v>6487.1699999999992</v>
      </c>
    </row>
    <row r="187" spans="1:22" ht="42.75" x14ac:dyDescent="0.2">
      <c r="A187" s="15" t="str">
        <f>Source!E116</f>
        <v>21</v>
      </c>
      <c r="B187" s="16" t="str">
        <f>Source!F116</f>
        <v>2.1-3303-1-2/1</v>
      </c>
      <c r="C187" s="16" t="str">
        <f>Source!G116</f>
        <v>Устройство подстилающих и выравнивающих слоев оснований из щебня</v>
      </c>
      <c r="D187" s="17" t="str">
        <f>Source!H116</f>
        <v>100 м3</v>
      </c>
      <c r="E187" s="9">
        <f>Source!I116</f>
        <v>8.5000000000000006E-2</v>
      </c>
      <c r="F187" s="19"/>
      <c r="G187" s="18"/>
      <c r="H187" s="9"/>
      <c r="I187" s="9"/>
      <c r="J187" s="20"/>
      <c r="K187" s="20"/>
      <c r="Q187">
        <f>ROUND((Source!BZ116/100)*ROUND((Source!AF116*Source!AV116)*Source!I116, 2), 2)</f>
        <v>228.28</v>
      </c>
      <c r="R187">
        <f>Source!X116</f>
        <v>228.28</v>
      </c>
      <c r="S187">
        <f>ROUND((Source!CA116/100)*ROUND((Source!AF116*Source!AV116)*Source!I116, 2), 2)</f>
        <v>32.61</v>
      </c>
      <c r="T187">
        <f>Source!Y116</f>
        <v>32.61</v>
      </c>
      <c r="U187">
        <f>ROUND((175/100)*ROUND((Source!AE116*Source!AV116)*Source!I116, 2), 2)</f>
        <v>2364.29</v>
      </c>
      <c r="V187">
        <f>ROUND((108/100)*ROUND(Source!CS116*Source!I116, 2), 2)</f>
        <v>1459.1</v>
      </c>
    </row>
    <row r="188" spans="1:22" ht="14.25" x14ac:dyDescent="0.2">
      <c r="A188" s="15"/>
      <c r="B188" s="16"/>
      <c r="C188" s="16" t="s">
        <v>360</v>
      </c>
      <c r="D188" s="17"/>
      <c r="E188" s="9"/>
      <c r="F188" s="19">
        <f>Source!AO116</f>
        <v>3836.54</v>
      </c>
      <c r="G188" s="18" t="str">
        <f>Source!DG116</f>
        <v/>
      </c>
      <c r="H188" s="9">
        <f>Source!AV116</f>
        <v>1</v>
      </c>
      <c r="I188" s="9">
        <f>IF(Source!BA116&lt;&gt; 0, Source!BA116, 1)</f>
        <v>1</v>
      </c>
      <c r="J188" s="20">
        <f>Source!S116</f>
        <v>326.11</v>
      </c>
      <c r="K188" s="20"/>
    </row>
    <row r="189" spans="1:22" ht="14.25" x14ac:dyDescent="0.2">
      <c r="A189" s="15"/>
      <c r="B189" s="16"/>
      <c r="C189" s="16" t="s">
        <v>361</v>
      </c>
      <c r="D189" s="17"/>
      <c r="E189" s="9"/>
      <c r="F189" s="19">
        <f>Source!AM116</f>
        <v>43302.76</v>
      </c>
      <c r="G189" s="18" t="str">
        <f>Source!DE116</f>
        <v/>
      </c>
      <c r="H189" s="9">
        <f>Source!AV116</f>
        <v>1</v>
      </c>
      <c r="I189" s="9">
        <f>IF(Source!BB116&lt;&gt; 0, Source!BB116, 1)</f>
        <v>1</v>
      </c>
      <c r="J189" s="20">
        <f>Source!Q116</f>
        <v>3680.73</v>
      </c>
      <c r="K189" s="20"/>
    </row>
    <row r="190" spans="1:22" ht="14.25" x14ac:dyDescent="0.2">
      <c r="A190" s="15"/>
      <c r="B190" s="16"/>
      <c r="C190" s="16" t="s">
        <v>362</v>
      </c>
      <c r="D190" s="17"/>
      <c r="E190" s="9"/>
      <c r="F190" s="19">
        <f>Source!AN116</f>
        <v>15894.37</v>
      </c>
      <c r="G190" s="18" t="str">
        <f>Source!DF116</f>
        <v/>
      </c>
      <c r="H190" s="9">
        <f>Source!AV116</f>
        <v>1</v>
      </c>
      <c r="I190" s="9">
        <f>IF(Source!BS116&lt;&gt; 0, Source!BS116, 1)</f>
        <v>1</v>
      </c>
      <c r="J190" s="22">
        <f>Source!R116</f>
        <v>1351.02</v>
      </c>
      <c r="K190" s="20"/>
    </row>
    <row r="191" spans="1:22" ht="14.25" x14ac:dyDescent="0.2">
      <c r="A191" s="15"/>
      <c r="B191" s="16"/>
      <c r="C191" s="16" t="s">
        <v>369</v>
      </c>
      <c r="D191" s="17"/>
      <c r="E191" s="9"/>
      <c r="F191" s="19">
        <f>Source!AL116</f>
        <v>240984.87</v>
      </c>
      <c r="G191" s="18" t="str">
        <f>Source!DD116</f>
        <v/>
      </c>
      <c r="H191" s="9">
        <f>Source!AW116</f>
        <v>1</v>
      </c>
      <c r="I191" s="9">
        <f>IF(Source!BC116&lt;&gt; 0, Source!BC116, 1)</f>
        <v>1</v>
      </c>
      <c r="J191" s="20">
        <f>Source!P116</f>
        <v>20483.71</v>
      </c>
      <c r="K191" s="20"/>
    </row>
    <row r="192" spans="1:22" ht="14.25" x14ac:dyDescent="0.2">
      <c r="A192" s="15"/>
      <c r="B192" s="16"/>
      <c r="C192" s="16" t="s">
        <v>363</v>
      </c>
      <c r="D192" s="17" t="s">
        <v>364</v>
      </c>
      <c r="E192" s="9">
        <f>Source!AT116</f>
        <v>70</v>
      </c>
      <c r="F192" s="19"/>
      <c r="G192" s="18"/>
      <c r="H192" s="9"/>
      <c r="I192" s="9"/>
      <c r="J192" s="20">
        <f>SUM(R187:R191)</f>
        <v>228.28</v>
      </c>
      <c r="K192" s="20"/>
    </row>
    <row r="193" spans="1:22" ht="14.25" x14ac:dyDescent="0.2">
      <c r="A193" s="15"/>
      <c r="B193" s="16"/>
      <c r="C193" s="16" t="s">
        <v>365</v>
      </c>
      <c r="D193" s="17" t="s">
        <v>364</v>
      </c>
      <c r="E193" s="9">
        <f>Source!AU116</f>
        <v>10</v>
      </c>
      <c r="F193" s="19"/>
      <c r="G193" s="18"/>
      <c r="H193" s="9"/>
      <c r="I193" s="9"/>
      <c r="J193" s="20">
        <f>SUM(T187:T192)</f>
        <v>32.61</v>
      </c>
      <c r="K193" s="20"/>
    </row>
    <row r="194" spans="1:22" ht="14.25" x14ac:dyDescent="0.2">
      <c r="A194" s="15"/>
      <c r="B194" s="16"/>
      <c r="C194" s="16" t="s">
        <v>366</v>
      </c>
      <c r="D194" s="17" t="s">
        <v>364</v>
      </c>
      <c r="E194" s="9">
        <f>108</f>
        <v>108</v>
      </c>
      <c r="F194" s="19"/>
      <c r="G194" s="18"/>
      <c r="H194" s="9"/>
      <c r="I194" s="9"/>
      <c r="J194" s="20">
        <f>SUM(V187:V193)</f>
        <v>1459.1</v>
      </c>
      <c r="K194" s="20"/>
    </row>
    <row r="195" spans="1:22" ht="14.25" x14ac:dyDescent="0.2">
      <c r="A195" s="15"/>
      <c r="B195" s="16"/>
      <c r="C195" s="16" t="s">
        <v>367</v>
      </c>
      <c r="D195" s="17" t="s">
        <v>368</v>
      </c>
      <c r="E195" s="9">
        <f>Source!AQ116</f>
        <v>24.84</v>
      </c>
      <c r="F195" s="19"/>
      <c r="G195" s="18" t="str">
        <f>Source!DI116</f>
        <v/>
      </c>
      <c r="H195" s="9">
        <f>Source!AV116</f>
        <v>1</v>
      </c>
      <c r="I195" s="9"/>
      <c r="J195" s="20"/>
      <c r="K195" s="20">
        <f>Source!U116</f>
        <v>2.1114000000000002</v>
      </c>
    </row>
    <row r="196" spans="1:22" ht="15" x14ac:dyDescent="0.25">
      <c r="A196" s="25"/>
      <c r="B196" s="25"/>
      <c r="C196" s="25"/>
      <c r="D196" s="25"/>
      <c r="E196" s="25"/>
      <c r="F196" s="25"/>
      <c r="G196" s="25"/>
      <c r="H196" s="25"/>
      <c r="I196" s="45">
        <f>J188+J189+J191+J192+J193+J194</f>
        <v>26210.539999999997</v>
      </c>
      <c r="J196" s="45"/>
      <c r="K196" s="26">
        <f>IF(Source!I116&lt;&gt;0, ROUND(I196/Source!I116, 2), 0)</f>
        <v>308359.28999999998</v>
      </c>
      <c r="P196" s="23">
        <f>I196</f>
        <v>26210.539999999997</v>
      </c>
    </row>
    <row r="197" spans="1:22" ht="42.75" x14ac:dyDescent="0.2">
      <c r="A197" s="15" t="str">
        <f>Source!E117</f>
        <v>22</v>
      </c>
      <c r="B197" s="16" t="str">
        <f>Source!F117</f>
        <v>2.1-3103-18-1/1</v>
      </c>
      <c r="C197" s="16" t="str">
        <f>Source!G117</f>
        <v>Устройство покрытий из асфальтобетонных смесей вручную, толщина 4 см (до 5см)</v>
      </c>
      <c r="D197" s="17" t="str">
        <f>Source!H117</f>
        <v>100 м2</v>
      </c>
      <c r="E197" s="9">
        <f>Source!I117</f>
        <v>0.85</v>
      </c>
      <c r="F197" s="19"/>
      <c r="G197" s="18"/>
      <c r="H197" s="9"/>
      <c r="I197" s="9"/>
      <c r="J197" s="20"/>
      <c r="K197" s="20"/>
      <c r="Q197">
        <f>ROUND((Source!BZ117/100)*ROUND((Source!AF117*Source!AV117)*Source!I117, 2), 2)</f>
        <v>1535.3</v>
      </c>
      <c r="R197">
        <f>Source!X117</f>
        <v>1535.3</v>
      </c>
      <c r="S197">
        <f>ROUND((Source!CA117/100)*ROUND((Source!AF117*Source!AV117)*Source!I117, 2), 2)</f>
        <v>219.33</v>
      </c>
      <c r="T197">
        <f>Source!Y117</f>
        <v>219.33</v>
      </c>
      <c r="U197">
        <f>ROUND((175/100)*ROUND((Source!AE117*Source!AV117)*Source!I117, 2), 2)</f>
        <v>1064.6500000000001</v>
      </c>
      <c r="V197">
        <f>ROUND((108/100)*ROUND(Source!CS117*Source!I117, 2), 2)</f>
        <v>657.04</v>
      </c>
    </row>
    <row r="198" spans="1:22" x14ac:dyDescent="0.2">
      <c r="C198" s="21" t="str">
        <f>"Объем: "&amp;Source!I117&amp;"=85/"&amp;"100"</f>
        <v>Объем: 0,85=85/100</v>
      </c>
    </row>
    <row r="199" spans="1:22" ht="14.25" x14ac:dyDescent="0.2">
      <c r="A199" s="15"/>
      <c r="B199" s="16"/>
      <c r="C199" s="16" t="s">
        <v>360</v>
      </c>
      <c r="D199" s="17"/>
      <c r="E199" s="9"/>
      <c r="F199" s="19">
        <f>Source!AO117</f>
        <v>2580.34</v>
      </c>
      <c r="G199" s="18" t="str">
        <f>Source!DG117</f>
        <v/>
      </c>
      <c r="H199" s="9">
        <f>Source!AV117</f>
        <v>1</v>
      </c>
      <c r="I199" s="9">
        <f>IF(Source!BA117&lt;&gt; 0, Source!BA117, 1)</f>
        <v>1</v>
      </c>
      <c r="J199" s="20">
        <f>Source!S117</f>
        <v>2193.29</v>
      </c>
      <c r="K199" s="20"/>
    </row>
    <row r="200" spans="1:22" ht="14.25" x14ac:dyDescent="0.2">
      <c r="A200" s="15"/>
      <c r="B200" s="16"/>
      <c r="C200" s="16" t="s">
        <v>361</v>
      </c>
      <c r="D200" s="17"/>
      <c r="E200" s="9"/>
      <c r="F200" s="19">
        <f>Source!AM117</f>
        <v>1235.5</v>
      </c>
      <c r="G200" s="18" t="str">
        <f>Source!DE117</f>
        <v/>
      </c>
      <c r="H200" s="9">
        <f>Source!AV117</f>
        <v>1</v>
      </c>
      <c r="I200" s="9">
        <f>IF(Source!BB117&lt;&gt; 0, Source!BB117, 1)</f>
        <v>1</v>
      </c>
      <c r="J200" s="20">
        <f>Source!Q117</f>
        <v>1050.18</v>
      </c>
      <c r="K200" s="20"/>
    </row>
    <row r="201" spans="1:22" ht="14.25" x14ac:dyDescent="0.2">
      <c r="A201" s="15"/>
      <c r="B201" s="16"/>
      <c r="C201" s="16" t="s">
        <v>362</v>
      </c>
      <c r="D201" s="17"/>
      <c r="E201" s="9"/>
      <c r="F201" s="19">
        <f>Source!AN117</f>
        <v>715.73</v>
      </c>
      <c r="G201" s="18" t="str">
        <f>Source!DF117</f>
        <v/>
      </c>
      <c r="H201" s="9">
        <f>Source!AV117</f>
        <v>1</v>
      </c>
      <c r="I201" s="9">
        <f>IF(Source!BS117&lt;&gt; 0, Source!BS117, 1)</f>
        <v>1</v>
      </c>
      <c r="J201" s="22">
        <f>Source!R117</f>
        <v>608.37</v>
      </c>
      <c r="K201" s="20"/>
    </row>
    <row r="202" spans="1:22" ht="14.25" x14ac:dyDescent="0.2">
      <c r="A202" s="15"/>
      <c r="B202" s="16"/>
      <c r="C202" s="16" t="s">
        <v>369</v>
      </c>
      <c r="D202" s="17"/>
      <c r="E202" s="9"/>
      <c r="F202" s="19">
        <f>Source!AL117</f>
        <v>22172.43</v>
      </c>
      <c r="G202" s="18" t="str">
        <f>Source!DD117</f>
        <v>/4*5</v>
      </c>
      <c r="H202" s="9">
        <f>Source!AW117</f>
        <v>1</v>
      </c>
      <c r="I202" s="9">
        <f>IF(Source!BC117&lt;&gt; 0, Source!BC117, 1)</f>
        <v>1</v>
      </c>
      <c r="J202" s="20">
        <f>Source!P117</f>
        <v>23558.21</v>
      </c>
      <c r="K202" s="20"/>
    </row>
    <row r="203" spans="1:22" ht="14.25" x14ac:dyDescent="0.2">
      <c r="A203" s="15"/>
      <c r="B203" s="16"/>
      <c r="C203" s="16" t="s">
        <v>363</v>
      </c>
      <c r="D203" s="17" t="s">
        <v>364</v>
      </c>
      <c r="E203" s="9">
        <f>Source!AT117</f>
        <v>70</v>
      </c>
      <c r="F203" s="19"/>
      <c r="G203" s="18"/>
      <c r="H203" s="9"/>
      <c r="I203" s="9"/>
      <c r="J203" s="20">
        <f>SUM(R197:R202)</f>
        <v>1535.3</v>
      </c>
      <c r="K203" s="20"/>
    </row>
    <row r="204" spans="1:22" ht="14.25" x14ac:dyDescent="0.2">
      <c r="A204" s="15"/>
      <c r="B204" s="16"/>
      <c r="C204" s="16" t="s">
        <v>365</v>
      </c>
      <c r="D204" s="17" t="s">
        <v>364</v>
      </c>
      <c r="E204" s="9">
        <f>Source!AU117</f>
        <v>10</v>
      </c>
      <c r="F204" s="19"/>
      <c r="G204" s="18"/>
      <c r="H204" s="9"/>
      <c r="I204" s="9"/>
      <c r="J204" s="20">
        <f>SUM(T197:T203)</f>
        <v>219.33</v>
      </c>
      <c r="K204" s="20"/>
    </row>
    <row r="205" spans="1:22" ht="14.25" x14ac:dyDescent="0.2">
      <c r="A205" s="15"/>
      <c r="B205" s="16"/>
      <c r="C205" s="16" t="s">
        <v>366</v>
      </c>
      <c r="D205" s="17" t="s">
        <v>364</v>
      </c>
      <c r="E205" s="9">
        <f>108</f>
        <v>108</v>
      </c>
      <c r="F205" s="19"/>
      <c r="G205" s="18"/>
      <c r="H205" s="9"/>
      <c r="I205" s="9"/>
      <c r="J205" s="20">
        <f>SUM(V197:V204)</f>
        <v>657.04</v>
      </c>
      <c r="K205" s="20"/>
    </row>
    <row r="206" spans="1:22" ht="14.25" x14ac:dyDescent="0.2">
      <c r="A206" s="15"/>
      <c r="B206" s="16"/>
      <c r="C206" s="16" t="s">
        <v>367</v>
      </c>
      <c r="D206" s="17" t="s">
        <v>368</v>
      </c>
      <c r="E206" s="9">
        <f>Source!AQ117</f>
        <v>13.57</v>
      </c>
      <c r="F206" s="19"/>
      <c r="G206" s="18" t="str">
        <f>Source!DI117</f>
        <v/>
      </c>
      <c r="H206" s="9">
        <f>Source!AV117</f>
        <v>1</v>
      </c>
      <c r="I206" s="9"/>
      <c r="J206" s="20"/>
      <c r="K206" s="20">
        <f>Source!U117</f>
        <v>11.5345</v>
      </c>
    </row>
    <row r="207" spans="1:22" ht="15" x14ac:dyDescent="0.25">
      <c r="A207" s="25"/>
      <c r="B207" s="25"/>
      <c r="C207" s="25"/>
      <c r="D207" s="25"/>
      <c r="E207" s="25"/>
      <c r="F207" s="25"/>
      <c r="G207" s="25"/>
      <c r="H207" s="25"/>
      <c r="I207" s="45">
        <f>J199+J200+J202+J203+J204+J205</f>
        <v>29213.350000000002</v>
      </c>
      <c r="J207" s="45"/>
      <c r="K207" s="26">
        <f>IF(Source!I117&lt;&gt;0, ROUND(I207/Source!I117, 2), 0)</f>
        <v>34368.65</v>
      </c>
      <c r="P207" s="23">
        <f>I207</f>
        <v>29213.350000000002</v>
      </c>
    </row>
    <row r="209" spans="1:22" ht="15" x14ac:dyDescent="0.25">
      <c r="A209" s="48" t="str">
        <f>CONCATENATE("Итого по разделу: ",IF(Source!G119&lt;&gt;"Новый раздел", Source!G119, ""))</f>
        <v>Итого по разделу: Ремонт отмостки - 85м2</v>
      </c>
      <c r="B209" s="48"/>
      <c r="C209" s="48"/>
      <c r="D209" s="48"/>
      <c r="E209" s="48"/>
      <c r="F209" s="48"/>
      <c r="G209" s="48"/>
      <c r="H209" s="48"/>
      <c r="I209" s="46">
        <f>SUM(P142:P208)</f>
        <v>92588.400000000009</v>
      </c>
      <c r="J209" s="47"/>
      <c r="K209" s="27"/>
    </row>
    <row r="212" spans="1:22" ht="16.5" x14ac:dyDescent="0.25">
      <c r="A212" s="49" t="str">
        <f>CONCATENATE("Раздел: ",IF(Source!G148&lt;&gt;"Новый раздел", Source!G148, ""))</f>
        <v>Раздел: Замена бортового камня</v>
      </c>
      <c r="B212" s="49"/>
      <c r="C212" s="49"/>
      <c r="D212" s="49"/>
      <c r="E212" s="49"/>
      <c r="F212" s="49"/>
      <c r="G212" s="49"/>
      <c r="H212" s="49"/>
      <c r="I212" s="49"/>
      <c r="J212" s="49"/>
      <c r="K212" s="49"/>
    </row>
    <row r="214" spans="1:22" ht="16.5" x14ac:dyDescent="0.25">
      <c r="A214" s="49" t="str">
        <f>CONCATENATE("Подраздел: ",IF(Source!G152&lt;&gt;"Новый подраздел", Source!G152, ""))</f>
        <v>Подраздел: Замена дорожного бортового камня - 70,4м.п.</v>
      </c>
      <c r="B214" s="49"/>
      <c r="C214" s="49"/>
      <c r="D214" s="49"/>
      <c r="E214" s="49"/>
      <c r="F214" s="49"/>
      <c r="G214" s="49"/>
      <c r="H214" s="49"/>
      <c r="I214" s="49"/>
      <c r="J214" s="49"/>
      <c r="K214" s="49"/>
    </row>
    <row r="215" spans="1:22" ht="28.5" x14ac:dyDescent="0.2">
      <c r="A215" s="15" t="str">
        <f>Source!E156</f>
        <v>23</v>
      </c>
      <c r="B215" s="16" t="str">
        <f>Source!F156</f>
        <v>2.1-3202-1-1/1</v>
      </c>
      <c r="C215" s="16" t="str">
        <f>Source!G156</f>
        <v>Замена бортового камня бетонного во дворовых территориях</v>
      </c>
      <c r="D215" s="17" t="str">
        <f>Source!H156</f>
        <v>м</v>
      </c>
      <c r="E215" s="9">
        <f>Source!I156</f>
        <v>70.400000000000006</v>
      </c>
      <c r="F215" s="19"/>
      <c r="G215" s="18"/>
      <c r="H215" s="9"/>
      <c r="I215" s="9"/>
      <c r="J215" s="20"/>
      <c r="K215" s="20"/>
      <c r="Q215">
        <f>ROUND((Source!BZ156/100)*ROUND((Source!AF156*Source!AV156)*Source!I156, 2), 2)</f>
        <v>5760.83</v>
      </c>
      <c r="R215">
        <f>Source!X156</f>
        <v>5760.83</v>
      </c>
      <c r="S215">
        <f>ROUND((Source!CA156/100)*ROUND((Source!AF156*Source!AV156)*Source!I156, 2), 2)</f>
        <v>822.98</v>
      </c>
      <c r="T215">
        <f>Source!Y156</f>
        <v>822.98</v>
      </c>
      <c r="U215">
        <f>ROUND((175/100)*ROUND((Source!AE156*Source!AV156)*Source!I156, 2), 2)</f>
        <v>9697.07</v>
      </c>
      <c r="V215">
        <f>ROUND((108/100)*ROUND(Source!CS156*Source!I156, 2), 2)</f>
        <v>5984.47</v>
      </c>
    </row>
    <row r="216" spans="1:22" ht="14.25" x14ac:dyDescent="0.2">
      <c r="A216" s="15"/>
      <c r="B216" s="16"/>
      <c r="C216" s="16" t="s">
        <v>360</v>
      </c>
      <c r="D216" s="17"/>
      <c r="E216" s="9"/>
      <c r="F216" s="19">
        <f>Source!AO156</f>
        <v>116.9</v>
      </c>
      <c r="G216" s="18" t="str">
        <f>Source!DG156</f>
        <v/>
      </c>
      <c r="H216" s="9">
        <f>Source!AV156</f>
        <v>1</v>
      </c>
      <c r="I216" s="9">
        <f>IF(Source!BA156&lt;&gt; 0, Source!BA156, 1)</f>
        <v>1</v>
      </c>
      <c r="J216" s="20">
        <f>Source!S156</f>
        <v>8229.76</v>
      </c>
      <c r="K216" s="20"/>
    </row>
    <row r="217" spans="1:22" ht="14.25" x14ac:dyDescent="0.2">
      <c r="A217" s="15"/>
      <c r="B217" s="16"/>
      <c r="C217" s="16" t="s">
        <v>361</v>
      </c>
      <c r="D217" s="17"/>
      <c r="E217" s="9"/>
      <c r="F217" s="19">
        <f>Source!AM156</f>
        <v>151.04</v>
      </c>
      <c r="G217" s="18" t="str">
        <f>Source!DE156</f>
        <v/>
      </c>
      <c r="H217" s="9">
        <f>Source!AV156</f>
        <v>1</v>
      </c>
      <c r="I217" s="9">
        <f>IF(Source!BB156&lt;&gt; 0, Source!BB156, 1)</f>
        <v>1</v>
      </c>
      <c r="J217" s="20">
        <f>Source!Q156</f>
        <v>10633.22</v>
      </c>
      <c r="K217" s="20"/>
    </row>
    <row r="218" spans="1:22" ht="14.25" x14ac:dyDescent="0.2">
      <c r="A218" s="15"/>
      <c r="B218" s="16"/>
      <c r="C218" s="16" t="s">
        <v>362</v>
      </c>
      <c r="D218" s="17"/>
      <c r="E218" s="9"/>
      <c r="F218" s="19">
        <f>Source!AN156</f>
        <v>78.709999999999994</v>
      </c>
      <c r="G218" s="18" t="str">
        <f>Source!DF156</f>
        <v/>
      </c>
      <c r="H218" s="9">
        <f>Source!AV156</f>
        <v>1</v>
      </c>
      <c r="I218" s="9">
        <f>IF(Source!BS156&lt;&gt; 0, Source!BS156, 1)</f>
        <v>1</v>
      </c>
      <c r="J218" s="22">
        <f>Source!R156</f>
        <v>5541.18</v>
      </c>
      <c r="K218" s="20"/>
    </row>
    <row r="219" spans="1:22" ht="14.25" x14ac:dyDescent="0.2">
      <c r="A219" s="15"/>
      <c r="B219" s="16"/>
      <c r="C219" s="16" t="s">
        <v>369</v>
      </c>
      <c r="D219" s="17"/>
      <c r="E219" s="9"/>
      <c r="F219" s="19">
        <f>Source!AL156</f>
        <v>486.65</v>
      </c>
      <c r="G219" s="18" t="str">
        <f>Source!DD156</f>
        <v/>
      </c>
      <c r="H219" s="9">
        <f>Source!AW156</f>
        <v>1</v>
      </c>
      <c r="I219" s="9">
        <f>IF(Source!BC156&lt;&gt; 0, Source!BC156, 1)</f>
        <v>1</v>
      </c>
      <c r="J219" s="20">
        <f>Source!P156</f>
        <v>34260.160000000003</v>
      </c>
      <c r="K219" s="20"/>
    </row>
    <row r="220" spans="1:22" ht="14.25" x14ac:dyDescent="0.2">
      <c r="A220" s="15"/>
      <c r="B220" s="16"/>
      <c r="C220" s="16" t="s">
        <v>363</v>
      </c>
      <c r="D220" s="17" t="s">
        <v>364</v>
      </c>
      <c r="E220" s="9">
        <f>Source!AT156</f>
        <v>70</v>
      </c>
      <c r="F220" s="19"/>
      <c r="G220" s="18"/>
      <c r="H220" s="9"/>
      <c r="I220" s="9"/>
      <c r="J220" s="20">
        <f>SUM(R215:R219)</f>
        <v>5760.83</v>
      </c>
      <c r="K220" s="20"/>
    </row>
    <row r="221" spans="1:22" ht="14.25" x14ac:dyDescent="0.2">
      <c r="A221" s="15"/>
      <c r="B221" s="16"/>
      <c r="C221" s="16" t="s">
        <v>365</v>
      </c>
      <c r="D221" s="17" t="s">
        <v>364</v>
      </c>
      <c r="E221" s="9">
        <f>Source!AU156</f>
        <v>10</v>
      </c>
      <c r="F221" s="19"/>
      <c r="G221" s="18"/>
      <c r="H221" s="9"/>
      <c r="I221" s="9"/>
      <c r="J221" s="20">
        <f>SUM(T215:T220)</f>
        <v>822.98</v>
      </c>
      <c r="K221" s="20"/>
    </row>
    <row r="222" spans="1:22" ht="14.25" x14ac:dyDescent="0.2">
      <c r="A222" s="15"/>
      <c r="B222" s="16"/>
      <c r="C222" s="16" t="s">
        <v>366</v>
      </c>
      <c r="D222" s="17" t="s">
        <v>364</v>
      </c>
      <c r="E222" s="9">
        <f>108</f>
        <v>108</v>
      </c>
      <c r="F222" s="19"/>
      <c r="G222" s="18"/>
      <c r="H222" s="9"/>
      <c r="I222" s="9"/>
      <c r="J222" s="20">
        <f>SUM(V215:V221)</f>
        <v>5984.47</v>
      </c>
      <c r="K222" s="20"/>
    </row>
    <row r="223" spans="1:22" ht="14.25" x14ac:dyDescent="0.2">
      <c r="A223" s="15"/>
      <c r="B223" s="16"/>
      <c r="C223" s="16" t="s">
        <v>367</v>
      </c>
      <c r="D223" s="17" t="s">
        <v>368</v>
      </c>
      <c r="E223" s="9">
        <f>Source!AQ156</f>
        <v>0.66</v>
      </c>
      <c r="F223" s="19"/>
      <c r="G223" s="18" t="str">
        <f>Source!DI156</f>
        <v/>
      </c>
      <c r="H223" s="9">
        <f>Source!AV156</f>
        <v>1</v>
      </c>
      <c r="I223" s="9"/>
      <c r="J223" s="20"/>
      <c r="K223" s="20">
        <f>Source!U156</f>
        <v>46.464000000000006</v>
      </c>
    </row>
    <row r="224" spans="1:22" ht="15" x14ac:dyDescent="0.25">
      <c r="A224" s="25"/>
      <c r="B224" s="25"/>
      <c r="C224" s="25"/>
      <c r="D224" s="25"/>
      <c r="E224" s="25"/>
      <c r="F224" s="25"/>
      <c r="G224" s="25"/>
      <c r="H224" s="25"/>
      <c r="I224" s="45">
        <f>J216+J217+J219+J220+J221+J222</f>
        <v>65691.42</v>
      </c>
      <c r="J224" s="45"/>
      <c r="K224" s="26">
        <f>IF(Source!I156&lt;&gt;0, ROUND(I224/Source!I156, 2), 0)</f>
        <v>933.12</v>
      </c>
      <c r="P224" s="23">
        <f>I224</f>
        <v>65691.42</v>
      </c>
    </row>
    <row r="225" spans="1:22" ht="57" x14ac:dyDescent="0.2">
      <c r="A225" s="15" t="str">
        <f>Source!E157</f>
        <v>24</v>
      </c>
      <c r="B225" s="16" t="str">
        <f>Source!F157</f>
        <v>1.49-9201-1-2/1</v>
      </c>
      <c r="C225" s="16" t="str">
        <f>Source!G157</f>
        <v>Перевозка строительного мусора автосамосвалами грузоподъемностью до 10 т на расстояние 1 км - при механизированной погрузке</v>
      </c>
      <c r="D225" s="17" t="str">
        <f>Source!H157</f>
        <v>т</v>
      </c>
      <c r="E225" s="9">
        <f>Source!I157</f>
        <v>11.224500000000001</v>
      </c>
      <c r="F225" s="19"/>
      <c r="G225" s="18"/>
      <c r="H225" s="9"/>
      <c r="I225" s="9"/>
      <c r="J225" s="20"/>
      <c r="K225" s="20"/>
      <c r="Q225">
        <f>ROUND((Source!BZ157/100)*ROUND((Source!AF157*Source!AV157)*Source!I157, 2), 2)</f>
        <v>0</v>
      </c>
      <c r="R225">
        <f>Source!X157</f>
        <v>0</v>
      </c>
      <c r="S225">
        <f>ROUND((Source!CA157/100)*ROUND((Source!AF157*Source!AV157)*Source!I157, 2), 2)</f>
        <v>0</v>
      </c>
      <c r="T225">
        <f>Source!Y157</f>
        <v>0</v>
      </c>
      <c r="U225">
        <f>ROUND((175/100)*ROUND((Source!AE157*Source!AV157)*Source!I157, 2), 2)</f>
        <v>936.37</v>
      </c>
      <c r="V225">
        <f>ROUND((108/100)*ROUND(Source!CS157*Source!I157, 2), 2)</f>
        <v>577.88</v>
      </c>
    </row>
    <row r="226" spans="1:22" ht="14.25" x14ac:dyDescent="0.2">
      <c r="A226" s="15"/>
      <c r="B226" s="16"/>
      <c r="C226" s="16" t="s">
        <v>361</v>
      </c>
      <c r="D226" s="17"/>
      <c r="E226" s="9"/>
      <c r="F226" s="19">
        <f>Source!AM157</f>
        <v>63.51</v>
      </c>
      <c r="G226" s="18" t="str">
        <f>Source!DE157</f>
        <v/>
      </c>
      <c r="H226" s="9">
        <f>Source!AV157</f>
        <v>1</v>
      </c>
      <c r="I226" s="9">
        <f>IF(Source!BB157&lt;&gt; 0, Source!BB157, 1)</f>
        <v>1</v>
      </c>
      <c r="J226" s="20">
        <f>Source!Q157</f>
        <v>712.87</v>
      </c>
      <c r="K226" s="20"/>
    </row>
    <row r="227" spans="1:22" ht="14.25" x14ac:dyDescent="0.2">
      <c r="A227" s="15"/>
      <c r="B227" s="16"/>
      <c r="C227" s="16" t="s">
        <v>362</v>
      </c>
      <c r="D227" s="17"/>
      <c r="E227" s="9"/>
      <c r="F227" s="19">
        <f>Source!AN157</f>
        <v>47.67</v>
      </c>
      <c r="G227" s="18" t="str">
        <f>Source!DF157</f>
        <v/>
      </c>
      <c r="H227" s="9">
        <f>Source!AV157</f>
        <v>1</v>
      </c>
      <c r="I227" s="9">
        <f>IF(Source!BS157&lt;&gt; 0, Source!BS157, 1)</f>
        <v>1</v>
      </c>
      <c r="J227" s="22">
        <f>Source!R157</f>
        <v>535.07000000000005</v>
      </c>
      <c r="K227" s="20"/>
    </row>
    <row r="228" spans="1:22" ht="15" x14ac:dyDescent="0.25">
      <c r="A228" s="25"/>
      <c r="B228" s="25"/>
      <c r="C228" s="25"/>
      <c r="D228" s="25"/>
      <c r="E228" s="25"/>
      <c r="F228" s="25"/>
      <c r="G228" s="25"/>
      <c r="H228" s="25"/>
      <c r="I228" s="45">
        <f>J226</f>
        <v>712.87</v>
      </c>
      <c r="J228" s="45"/>
      <c r="K228" s="26">
        <f>IF(Source!I157&lt;&gt;0, ROUND(I228/Source!I157, 2), 0)</f>
        <v>63.51</v>
      </c>
      <c r="P228" s="23">
        <f>I228</f>
        <v>712.87</v>
      </c>
    </row>
    <row r="229" spans="1:22" ht="57" x14ac:dyDescent="0.2">
      <c r="A229" s="15" t="str">
        <f>Source!E158</f>
        <v>25</v>
      </c>
      <c r="B229" s="16" t="str">
        <f>Source!F158</f>
        <v>1.49-9201-1-3/1</v>
      </c>
      <c r="C229" s="16" t="str">
        <f>Source!G158</f>
        <v>Перевозка строительного мусора автосамосвалами грузоподъемностью до 10 т - добавляется на каждый последующий 1 км до 100 км</v>
      </c>
      <c r="D229" s="17" t="str">
        <f>Source!H158</f>
        <v>т</v>
      </c>
      <c r="E229" s="9">
        <f>Source!I158</f>
        <v>11.224500000000001</v>
      </c>
      <c r="F229" s="19"/>
      <c r="G229" s="18"/>
      <c r="H229" s="9"/>
      <c r="I229" s="9"/>
      <c r="J229" s="20"/>
      <c r="K229" s="20"/>
      <c r="Q229">
        <f>ROUND((Source!BZ158/100)*ROUND((Source!AF158*Source!AV158)*Source!I158, 2), 2)</f>
        <v>0</v>
      </c>
      <c r="R229">
        <f>Source!X158</f>
        <v>0</v>
      </c>
      <c r="S229">
        <f>ROUND((Source!CA158/100)*ROUND((Source!AF158*Source!AV158)*Source!I158, 2), 2)</f>
        <v>0</v>
      </c>
      <c r="T229">
        <f>Source!Y158</f>
        <v>0</v>
      </c>
      <c r="U229">
        <f>ROUND((175/100)*ROUND((Source!AE158*Source!AV158)*Source!I158, 2), 2)</f>
        <v>11044.22</v>
      </c>
      <c r="V229">
        <f>ROUND((108/100)*ROUND(Source!CS158*Source!I158, 2), 2)</f>
        <v>6815.86</v>
      </c>
    </row>
    <row r="230" spans="1:22" ht="14.25" x14ac:dyDescent="0.2">
      <c r="A230" s="15"/>
      <c r="B230" s="16"/>
      <c r="C230" s="16" t="s">
        <v>361</v>
      </c>
      <c r="D230" s="17"/>
      <c r="E230" s="9"/>
      <c r="F230" s="19">
        <f>Source!AM158</f>
        <v>29.94</v>
      </c>
      <c r="G230" s="18" t="str">
        <f>Source!DE158</f>
        <v>*25</v>
      </c>
      <c r="H230" s="9">
        <f>Source!AV158</f>
        <v>1</v>
      </c>
      <c r="I230" s="9">
        <f>IF(Source!BB158&lt;&gt; 0, Source!BB158, 1)</f>
        <v>1</v>
      </c>
      <c r="J230" s="20">
        <f>Source!Q158</f>
        <v>8401.5400000000009</v>
      </c>
      <c r="K230" s="20"/>
    </row>
    <row r="231" spans="1:22" ht="14.25" x14ac:dyDescent="0.2">
      <c r="A231" s="15"/>
      <c r="B231" s="16"/>
      <c r="C231" s="16" t="s">
        <v>362</v>
      </c>
      <c r="D231" s="17"/>
      <c r="E231" s="9"/>
      <c r="F231" s="19">
        <f>Source!AN158</f>
        <v>22.49</v>
      </c>
      <c r="G231" s="18" t="str">
        <f>Source!DF158</f>
        <v>*25</v>
      </c>
      <c r="H231" s="9">
        <f>Source!AV158</f>
        <v>1</v>
      </c>
      <c r="I231" s="9">
        <f>IF(Source!BS158&lt;&gt; 0, Source!BS158, 1)</f>
        <v>1</v>
      </c>
      <c r="J231" s="22">
        <f>Source!R158</f>
        <v>6310.98</v>
      </c>
      <c r="K231" s="20"/>
    </row>
    <row r="232" spans="1:22" ht="15" x14ac:dyDescent="0.25">
      <c r="A232" s="25"/>
      <c r="B232" s="25"/>
      <c r="C232" s="25"/>
      <c r="D232" s="25"/>
      <c r="E232" s="25"/>
      <c r="F232" s="25"/>
      <c r="G232" s="25"/>
      <c r="H232" s="25"/>
      <c r="I232" s="45">
        <f>J230</f>
        <v>8401.5400000000009</v>
      </c>
      <c r="J232" s="45"/>
      <c r="K232" s="26">
        <f>IF(Source!I158&lt;&gt;0, ROUND(I232/Source!I158, 2), 0)</f>
        <v>748.5</v>
      </c>
      <c r="P232" s="23">
        <f>I232</f>
        <v>8401.5400000000009</v>
      </c>
    </row>
    <row r="234" spans="1:22" ht="15" x14ac:dyDescent="0.25">
      <c r="A234" s="48" t="str">
        <f>CONCATENATE("Итого по подразделу: ",IF(Source!G160&lt;&gt;"Новый подраздел", Source!G160, ""))</f>
        <v>Итого по подразделу: Замена дорожного бортового камня - 70,4м.п.</v>
      </c>
      <c r="B234" s="48"/>
      <c r="C234" s="48"/>
      <c r="D234" s="48"/>
      <c r="E234" s="48"/>
      <c r="F234" s="48"/>
      <c r="G234" s="48"/>
      <c r="H234" s="48"/>
      <c r="I234" s="46">
        <f>SUM(P214:P233)</f>
        <v>74805.829999999987</v>
      </c>
      <c r="J234" s="47"/>
      <c r="K234" s="27"/>
    </row>
    <row r="237" spans="1:22" ht="16.5" x14ac:dyDescent="0.25">
      <c r="A237" s="49" t="str">
        <f>CONCATENATE("Подраздел: ",IF(Source!G189&lt;&gt;"Новый подраздел", Source!G189, ""))</f>
        <v>Подраздел: Замена садового бортового камня - 440м.п.</v>
      </c>
      <c r="B237" s="49"/>
      <c r="C237" s="49"/>
      <c r="D237" s="49"/>
      <c r="E237" s="49"/>
      <c r="F237" s="49"/>
      <c r="G237" s="49"/>
      <c r="H237" s="49"/>
      <c r="I237" s="49"/>
      <c r="J237" s="49"/>
      <c r="K237" s="49"/>
    </row>
    <row r="238" spans="1:22" ht="57" x14ac:dyDescent="0.2">
      <c r="A238" s="15" t="str">
        <f>Source!E193</f>
        <v>26</v>
      </c>
      <c r="B238" s="16" t="str">
        <f>Source!F193</f>
        <v>2.1-3203-1-5/1</v>
      </c>
      <c r="C238" s="16" t="str">
        <f>Source!G193</f>
        <v>Разборка бортовых камней бетонных газонных и садовых марка 2ГБ 60.8.20, цвет серый, при цементобетонных покрытиях</v>
      </c>
      <c r="D238" s="17" t="str">
        <f>Source!H193</f>
        <v>100 м</v>
      </c>
      <c r="E238" s="9">
        <f>Source!I193</f>
        <v>4.4000000000000004</v>
      </c>
      <c r="F238" s="19"/>
      <c r="G238" s="18"/>
      <c r="H238" s="9"/>
      <c r="I238" s="9"/>
      <c r="J238" s="20"/>
      <c r="K238" s="20"/>
      <c r="Q238">
        <f>ROUND((Source!BZ193/100)*ROUND((Source!AF193*Source!AV193)*Source!I193, 2), 2)</f>
        <v>7542.25</v>
      </c>
      <c r="R238">
        <f>Source!X193</f>
        <v>7542.25</v>
      </c>
      <c r="S238">
        <f>ROUND((Source!CA193/100)*ROUND((Source!AF193*Source!AV193)*Source!I193, 2), 2)</f>
        <v>1077.46</v>
      </c>
      <c r="T238">
        <f>Source!Y193</f>
        <v>1077.46</v>
      </c>
      <c r="U238">
        <f>ROUND((175/100)*ROUND((Source!AE193*Source!AV193)*Source!I193, 2), 2)</f>
        <v>108.55</v>
      </c>
      <c r="V238">
        <f>ROUND((108/100)*ROUND(Source!CS193*Source!I193, 2), 2)</f>
        <v>66.989999999999995</v>
      </c>
    </row>
    <row r="239" spans="1:22" x14ac:dyDescent="0.2">
      <c r="C239" s="21" t="str">
        <f>"Объем: "&amp;Source!I193&amp;"=440/"&amp;"100"</f>
        <v>Объем: 4,4=440/100</v>
      </c>
    </row>
    <row r="240" spans="1:22" ht="14.25" x14ac:dyDescent="0.2">
      <c r="A240" s="15"/>
      <c r="B240" s="16"/>
      <c r="C240" s="16" t="s">
        <v>360</v>
      </c>
      <c r="D240" s="17"/>
      <c r="E240" s="9"/>
      <c r="F240" s="19">
        <f>Source!AO193</f>
        <v>12243.91</v>
      </c>
      <c r="G240" s="18" t="str">
        <f>Source!DG193</f>
        <v>*0,2</v>
      </c>
      <c r="H240" s="9">
        <f>Source!AV193</f>
        <v>1</v>
      </c>
      <c r="I240" s="9">
        <f>IF(Source!BA193&lt;&gt; 0, Source!BA193, 1)</f>
        <v>1</v>
      </c>
      <c r="J240" s="20">
        <f>Source!S193</f>
        <v>10774.64</v>
      </c>
      <c r="K240" s="20"/>
    </row>
    <row r="241" spans="1:22" ht="14.25" x14ac:dyDescent="0.2">
      <c r="A241" s="15"/>
      <c r="B241" s="16"/>
      <c r="C241" s="16" t="s">
        <v>361</v>
      </c>
      <c r="D241" s="17"/>
      <c r="E241" s="9"/>
      <c r="F241" s="19">
        <f>Source!AM193</f>
        <v>140.97999999999999</v>
      </c>
      <c r="G241" s="18" t="str">
        <f>Source!DE193</f>
        <v>*0,2</v>
      </c>
      <c r="H241" s="9">
        <f>Source!AV193</f>
        <v>1</v>
      </c>
      <c r="I241" s="9">
        <f>IF(Source!BB193&lt;&gt; 0, Source!BB193, 1)</f>
        <v>1</v>
      </c>
      <c r="J241" s="20">
        <f>Source!Q193</f>
        <v>124.06</v>
      </c>
      <c r="K241" s="20"/>
    </row>
    <row r="242" spans="1:22" ht="14.25" x14ac:dyDescent="0.2">
      <c r="A242" s="15"/>
      <c r="B242" s="16"/>
      <c r="C242" s="16" t="s">
        <v>362</v>
      </c>
      <c r="D242" s="17"/>
      <c r="E242" s="9"/>
      <c r="F242" s="19">
        <f>Source!AN193</f>
        <v>70.489999999999995</v>
      </c>
      <c r="G242" s="18" t="str">
        <f>Source!DF193</f>
        <v>*0,2</v>
      </c>
      <c r="H242" s="9">
        <f>Source!AV193</f>
        <v>1</v>
      </c>
      <c r="I242" s="9">
        <f>IF(Source!BS193&lt;&gt; 0, Source!BS193, 1)</f>
        <v>1</v>
      </c>
      <c r="J242" s="22">
        <f>Source!R193</f>
        <v>62.03</v>
      </c>
      <c r="K242" s="20"/>
    </row>
    <row r="243" spans="1:22" ht="14.25" x14ac:dyDescent="0.2">
      <c r="A243" s="15"/>
      <c r="B243" s="16"/>
      <c r="C243" s="16" t="s">
        <v>363</v>
      </c>
      <c r="D243" s="17" t="s">
        <v>364</v>
      </c>
      <c r="E243" s="9">
        <f>Source!AT193</f>
        <v>70</v>
      </c>
      <c r="F243" s="19"/>
      <c r="G243" s="18"/>
      <c r="H243" s="9"/>
      <c r="I243" s="9"/>
      <c r="J243" s="20">
        <f>SUM(R238:R242)</f>
        <v>7542.25</v>
      </c>
      <c r="K243" s="20"/>
    </row>
    <row r="244" spans="1:22" ht="14.25" x14ac:dyDescent="0.2">
      <c r="A244" s="15"/>
      <c r="B244" s="16"/>
      <c r="C244" s="16" t="s">
        <v>365</v>
      </c>
      <c r="D244" s="17" t="s">
        <v>364</v>
      </c>
      <c r="E244" s="9">
        <f>Source!AU193</f>
        <v>10</v>
      </c>
      <c r="F244" s="19"/>
      <c r="G244" s="18"/>
      <c r="H244" s="9"/>
      <c r="I244" s="9"/>
      <c r="J244" s="20">
        <f>SUM(T238:T243)</f>
        <v>1077.46</v>
      </c>
      <c r="K244" s="20"/>
    </row>
    <row r="245" spans="1:22" ht="14.25" x14ac:dyDescent="0.2">
      <c r="A245" s="15"/>
      <c r="B245" s="16"/>
      <c r="C245" s="16" t="s">
        <v>366</v>
      </c>
      <c r="D245" s="17" t="s">
        <v>364</v>
      </c>
      <c r="E245" s="9">
        <f>108</f>
        <v>108</v>
      </c>
      <c r="F245" s="19"/>
      <c r="G245" s="18"/>
      <c r="H245" s="9"/>
      <c r="I245" s="9"/>
      <c r="J245" s="20">
        <f>SUM(V238:V244)</f>
        <v>66.989999999999995</v>
      </c>
      <c r="K245" s="20"/>
    </row>
    <row r="246" spans="1:22" ht="14.25" x14ac:dyDescent="0.2">
      <c r="A246" s="15"/>
      <c r="B246" s="16"/>
      <c r="C246" s="16" t="s">
        <v>367</v>
      </c>
      <c r="D246" s="17" t="s">
        <v>368</v>
      </c>
      <c r="E246" s="9">
        <f>Source!AQ193</f>
        <v>72.95</v>
      </c>
      <c r="F246" s="19"/>
      <c r="G246" s="18" t="str">
        <f>Source!DI193</f>
        <v>*0,2</v>
      </c>
      <c r="H246" s="9">
        <f>Source!AV193</f>
        <v>1</v>
      </c>
      <c r="I246" s="9"/>
      <c r="J246" s="20"/>
      <c r="K246" s="20">
        <f>Source!U193</f>
        <v>64.196000000000012</v>
      </c>
    </row>
    <row r="247" spans="1:22" ht="15" x14ac:dyDescent="0.25">
      <c r="A247" s="25"/>
      <c r="B247" s="25"/>
      <c r="C247" s="25"/>
      <c r="D247" s="25"/>
      <c r="E247" s="25"/>
      <c r="F247" s="25"/>
      <c r="G247" s="25"/>
      <c r="H247" s="25"/>
      <c r="I247" s="45">
        <f>J240+J241+J243+J244+J245</f>
        <v>19585.399999999998</v>
      </c>
      <c r="J247" s="45"/>
      <c r="K247" s="26">
        <f>IF(Source!I193&lt;&gt;0, ROUND(I247/Source!I193, 2), 0)</f>
        <v>4451.2299999999996</v>
      </c>
      <c r="P247" s="23">
        <f>I247</f>
        <v>19585.399999999998</v>
      </c>
    </row>
    <row r="248" spans="1:22" ht="42.75" x14ac:dyDescent="0.2">
      <c r="A248" s="15" t="str">
        <f>Source!E194</f>
        <v>27</v>
      </c>
      <c r="B248" s="16" t="str">
        <f>Source!F194</f>
        <v>1.49-9101-7-1/1</v>
      </c>
      <c r="C248" s="16" t="str">
        <f>Source!G194</f>
        <v>Механизированная погрузка строительного мусора в автомобили-самосвалы</v>
      </c>
      <c r="D248" s="17" t="str">
        <f>Source!H194</f>
        <v>т</v>
      </c>
      <c r="E248" s="9">
        <f>Source!I194</f>
        <v>14.2555</v>
      </c>
      <c r="F248" s="19"/>
      <c r="G248" s="18"/>
      <c r="H248" s="9"/>
      <c r="I248" s="9"/>
      <c r="J248" s="20"/>
      <c r="K248" s="20"/>
      <c r="Q248">
        <f>ROUND((Source!BZ194/100)*ROUND((Source!AF194*Source!AV194)*Source!I194, 2), 2)</f>
        <v>0</v>
      </c>
      <c r="R248">
        <f>Source!X194</f>
        <v>0</v>
      </c>
      <c r="S248">
        <f>ROUND((Source!CA194/100)*ROUND((Source!AF194*Source!AV194)*Source!I194, 2), 2)</f>
        <v>0</v>
      </c>
      <c r="T248">
        <f>Source!Y194</f>
        <v>0</v>
      </c>
      <c r="U248">
        <f>ROUND((175/100)*ROUND((Source!AE194*Source!AV194)*Source!I194, 2), 2)</f>
        <v>698.27</v>
      </c>
      <c r="V248">
        <f>ROUND((108/100)*ROUND(Source!CS194*Source!I194, 2), 2)</f>
        <v>430.93</v>
      </c>
    </row>
    <row r="249" spans="1:22" ht="14.25" x14ac:dyDescent="0.2">
      <c r="A249" s="15"/>
      <c r="B249" s="16"/>
      <c r="C249" s="16" t="s">
        <v>361</v>
      </c>
      <c r="D249" s="17"/>
      <c r="E249" s="9"/>
      <c r="F249" s="19">
        <f>Source!AM194</f>
        <v>69.599999999999994</v>
      </c>
      <c r="G249" s="18" t="str">
        <f>Source!DE194</f>
        <v/>
      </c>
      <c r="H249" s="9">
        <f>Source!AV194</f>
        <v>1</v>
      </c>
      <c r="I249" s="9">
        <f>IF(Source!BB194&lt;&gt; 0, Source!BB194, 1)</f>
        <v>1</v>
      </c>
      <c r="J249" s="20">
        <f>Source!Q194</f>
        <v>992.18</v>
      </c>
      <c r="K249" s="20"/>
    </row>
    <row r="250" spans="1:22" ht="14.25" x14ac:dyDescent="0.2">
      <c r="A250" s="15"/>
      <c r="B250" s="16"/>
      <c r="C250" s="16" t="s">
        <v>362</v>
      </c>
      <c r="D250" s="17"/>
      <c r="E250" s="9"/>
      <c r="F250" s="19">
        <f>Source!AN194</f>
        <v>27.99</v>
      </c>
      <c r="G250" s="18" t="str">
        <f>Source!DF194</f>
        <v/>
      </c>
      <c r="H250" s="9">
        <f>Source!AV194</f>
        <v>1</v>
      </c>
      <c r="I250" s="9">
        <f>IF(Source!BS194&lt;&gt; 0, Source!BS194, 1)</f>
        <v>1</v>
      </c>
      <c r="J250" s="22">
        <f>Source!R194</f>
        <v>399.01</v>
      </c>
      <c r="K250" s="20"/>
    </row>
    <row r="251" spans="1:22" ht="14.25" x14ac:dyDescent="0.2">
      <c r="A251" s="15"/>
      <c r="B251" s="16"/>
      <c r="C251" s="16" t="s">
        <v>366</v>
      </c>
      <c r="D251" s="17" t="s">
        <v>364</v>
      </c>
      <c r="E251" s="9">
        <f>108</f>
        <v>108</v>
      </c>
      <c r="F251" s="19"/>
      <c r="G251" s="18"/>
      <c r="H251" s="9"/>
      <c r="I251" s="9"/>
      <c r="J251" s="20">
        <f>SUM(V248:V250)</f>
        <v>430.93</v>
      </c>
      <c r="K251" s="20"/>
    </row>
    <row r="252" spans="1:22" ht="15" x14ac:dyDescent="0.25">
      <c r="A252" s="25"/>
      <c r="B252" s="25"/>
      <c r="C252" s="25"/>
      <c r="D252" s="25"/>
      <c r="E252" s="25"/>
      <c r="F252" s="25"/>
      <c r="G252" s="25"/>
      <c r="H252" s="25"/>
      <c r="I252" s="45">
        <f>J249+J251</f>
        <v>1423.11</v>
      </c>
      <c r="J252" s="45"/>
      <c r="K252" s="26">
        <f>IF(Source!I194&lt;&gt;0, ROUND(I252/Source!I194, 2), 0)</f>
        <v>99.83</v>
      </c>
      <c r="P252" s="23">
        <f>I252</f>
        <v>1423.11</v>
      </c>
    </row>
    <row r="253" spans="1:22" ht="57" x14ac:dyDescent="0.2">
      <c r="A253" s="15" t="str">
        <f>Source!E195</f>
        <v>28</v>
      </c>
      <c r="B253" s="16" t="str">
        <f>Source!F195</f>
        <v>1.49-9201-1-2/1</v>
      </c>
      <c r="C253" s="16" t="str">
        <f>Source!G195</f>
        <v>Перевозка строительного мусора автосамосвалами грузоподъемностью до 10 т на расстояние 1 км - при механизированной погрузке</v>
      </c>
      <c r="D253" s="17" t="str">
        <f>Source!H195</f>
        <v>т</v>
      </c>
      <c r="E253" s="9">
        <f>Source!I195</f>
        <v>14.2555</v>
      </c>
      <c r="F253" s="19"/>
      <c r="G253" s="18"/>
      <c r="H253" s="9"/>
      <c r="I253" s="9"/>
      <c r="J253" s="20"/>
      <c r="K253" s="20"/>
      <c r="Q253">
        <f>ROUND((Source!BZ195/100)*ROUND((Source!AF195*Source!AV195)*Source!I195, 2), 2)</f>
        <v>0</v>
      </c>
      <c r="R253">
        <f>Source!X195</f>
        <v>0</v>
      </c>
      <c r="S253">
        <f>ROUND((Source!CA195/100)*ROUND((Source!AF195*Source!AV195)*Source!I195, 2), 2)</f>
        <v>0</v>
      </c>
      <c r="T253">
        <f>Source!Y195</f>
        <v>0</v>
      </c>
      <c r="U253">
        <f>ROUND((175/100)*ROUND((Source!AE195*Source!AV195)*Source!I195, 2), 2)</f>
        <v>1189.23</v>
      </c>
      <c r="V253">
        <f>ROUND((108/100)*ROUND(Source!CS195*Source!I195, 2), 2)</f>
        <v>733.92</v>
      </c>
    </row>
    <row r="254" spans="1:22" ht="14.25" x14ac:dyDescent="0.2">
      <c r="A254" s="15"/>
      <c r="B254" s="16"/>
      <c r="C254" s="16" t="s">
        <v>361</v>
      </c>
      <c r="D254" s="17"/>
      <c r="E254" s="9"/>
      <c r="F254" s="19">
        <f>Source!AM195</f>
        <v>63.51</v>
      </c>
      <c r="G254" s="18" t="str">
        <f>Source!DE195</f>
        <v/>
      </c>
      <c r="H254" s="9">
        <f>Source!AV195</f>
        <v>1</v>
      </c>
      <c r="I254" s="9">
        <f>IF(Source!BB195&lt;&gt; 0, Source!BB195, 1)</f>
        <v>1</v>
      </c>
      <c r="J254" s="20">
        <f>Source!Q195</f>
        <v>905.37</v>
      </c>
      <c r="K254" s="20"/>
    </row>
    <row r="255" spans="1:22" ht="14.25" x14ac:dyDescent="0.2">
      <c r="A255" s="15"/>
      <c r="B255" s="16"/>
      <c r="C255" s="16" t="s">
        <v>362</v>
      </c>
      <c r="D255" s="17"/>
      <c r="E255" s="9"/>
      <c r="F255" s="19">
        <f>Source!AN195</f>
        <v>47.67</v>
      </c>
      <c r="G255" s="18" t="str">
        <f>Source!DF195</f>
        <v/>
      </c>
      <c r="H255" s="9">
        <f>Source!AV195</f>
        <v>1</v>
      </c>
      <c r="I255" s="9">
        <f>IF(Source!BS195&lt;&gt; 0, Source!BS195, 1)</f>
        <v>1</v>
      </c>
      <c r="J255" s="22">
        <f>Source!R195</f>
        <v>679.56</v>
      </c>
      <c r="K255" s="20"/>
    </row>
    <row r="256" spans="1:22" ht="15" x14ac:dyDescent="0.25">
      <c r="A256" s="25"/>
      <c r="B256" s="25"/>
      <c r="C256" s="25"/>
      <c r="D256" s="25"/>
      <c r="E256" s="25"/>
      <c r="F256" s="25"/>
      <c r="G256" s="25"/>
      <c r="H256" s="25"/>
      <c r="I256" s="45">
        <f>J254</f>
        <v>905.37</v>
      </c>
      <c r="J256" s="45"/>
      <c r="K256" s="26">
        <f>IF(Source!I195&lt;&gt;0, ROUND(I256/Source!I195, 2), 0)</f>
        <v>63.51</v>
      </c>
      <c r="P256" s="23">
        <f>I256</f>
        <v>905.37</v>
      </c>
    </row>
    <row r="257" spans="1:22" ht="57" x14ac:dyDescent="0.2">
      <c r="A257" s="15" t="str">
        <f>Source!E196</f>
        <v>29</v>
      </c>
      <c r="B257" s="16" t="str">
        <f>Source!F196</f>
        <v>1.49-9201-1-3/1</v>
      </c>
      <c r="C257" s="16" t="str">
        <f>Source!G196</f>
        <v>Перевозка строительного мусора автосамосвалами грузоподъемностью до 10 т - добавляется на каждый последующий 1 км до 100 км</v>
      </c>
      <c r="D257" s="17" t="str">
        <f>Source!H196</f>
        <v>т</v>
      </c>
      <c r="E257" s="9">
        <f>Source!I196</f>
        <v>14.2555</v>
      </c>
      <c r="F257" s="19"/>
      <c r="G257" s="18"/>
      <c r="H257" s="9"/>
      <c r="I257" s="9"/>
      <c r="J257" s="20"/>
      <c r="K257" s="20"/>
      <c r="Q257">
        <f>ROUND((Source!BZ196/100)*ROUND((Source!AF196*Source!AV196)*Source!I196, 2), 2)</f>
        <v>0</v>
      </c>
      <c r="R257">
        <f>Source!X196</f>
        <v>0</v>
      </c>
      <c r="S257">
        <f>ROUND((Source!CA196/100)*ROUND((Source!AF196*Source!AV196)*Source!I196, 2), 2)</f>
        <v>0</v>
      </c>
      <c r="T257">
        <f>Source!Y196</f>
        <v>0</v>
      </c>
      <c r="U257">
        <f>ROUND((175/100)*ROUND((Source!AE196*Source!AV196)*Source!I196, 2), 2)</f>
        <v>14026.51</v>
      </c>
      <c r="V257">
        <f>ROUND((108/100)*ROUND(Source!CS196*Source!I196, 2), 2)</f>
        <v>8656.36</v>
      </c>
    </row>
    <row r="258" spans="1:22" ht="14.25" x14ac:dyDescent="0.2">
      <c r="A258" s="15"/>
      <c r="B258" s="16"/>
      <c r="C258" s="16" t="s">
        <v>361</v>
      </c>
      <c r="D258" s="17"/>
      <c r="E258" s="9"/>
      <c r="F258" s="19">
        <f>Source!AM196</f>
        <v>29.94</v>
      </c>
      <c r="G258" s="18" t="str">
        <f>Source!DE196</f>
        <v>*25</v>
      </c>
      <c r="H258" s="9">
        <f>Source!AV196</f>
        <v>1</v>
      </c>
      <c r="I258" s="9">
        <f>IF(Source!BB196&lt;&gt; 0, Source!BB196, 1)</f>
        <v>1</v>
      </c>
      <c r="J258" s="20">
        <f>Source!Q196</f>
        <v>10670.24</v>
      </c>
      <c r="K258" s="20"/>
    </row>
    <row r="259" spans="1:22" ht="14.25" x14ac:dyDescent="0.2">
      <c r="A259" s="15"/>
      <c r="B259" s="16"/>
      <c r="C259" s="16" t="s">
        <v>362</v>
      </c>
      <c r="D259" s="17"/>
      <c r="E259" s="9"/>
      <c r="F259" s="19">
        <f>Source!AN196</f>
        <v>22.49</v>
      </c>
      <c r="G259" s="18" t="str">
        <f>Source!DF196</f>
        <v>*25</v>
      </c>
      <c r="H259" s="9">
        <f>Source!AV196</f>
        <v>1</v>
      </c>
      <c r="I259" s="9">
        <f>IF(Source!BS196&lt;&gt; 0, Source!BS196, 1)</f>
        <v>1</v>
      </c>
      <c r="J259" s="22">
        <f>Source!R196</f>
        <v>8015.15</v>
      </c>
      <c r="K259" s="20"/>
    </row>
    <row r="260" spans="1:22" ht="15" x14ac:dyDescent="0.25">
      <c r="A260" s="25"/>
      <c r="B260" s="25"/>
      <c r="C260" s="25"/>
      <c r="D260" s="25"/>
      <c r="E260" s="25"/>
      <c r="F260" s="25"/>
      <c r="G260" s="25"/>
      <c r="H260" s="25"/>
      <c r="I260" s="45">
        <f>J258</f>
        <v>10670.24</v>
      </c>
      <c r="J260" s="45"/>
      <c r="K260" s="26">
        <f>IF(Source!I196&lt;&gt;0, ROUND(I260/Source!I196, 2), 0)</f>
        <v>748.5</v>
      </c>
      <c r="P260" s="23">
        <f>I260</f>
        <v>10670.24</v>
      </c>
    </row>
    <row r="261" spans="1:22" ht="57" x14ac:dyDescent="0.2">
      <c r="A261" s="15" t="str">
        <f>Source!E197</f>
        <v>30</v>
      </c>
      <c r="B261" s="16" t="str">
        <f>Source!F197</f>
        <v>2.1-3203-1-5/1</v>
      </c>
      <c r="C261" s="16" t="str">
        <f>Source!G197</f>
        <v>Установка бортовых камней бетонных газонных и садовых марка 2ГБ 60.8.20, цвет серый, при цементобетонных покрытиях</v>
      </c>
      <c r="D261" s="17" t="str">
        <f>Source!H197</f>
        <v>100 м</v>
      </c>
      <c r="E261" s="9">
        <f>Source!I197</f>
        <v>4.4000000000000004</v>
      </c>
      <c r="F261" s="19"/>
      <c r="G261" s="18"/>
      <c r="H261" s="9"/>
      <c r="I261" s="9"/>
      <c r="J261" s="20"/>
      <c r="K261" s="20"/>
      <c r="Q261">
        <f>ROUND((Source!BZ197/100)*ROUND((Source!AF197*Source!AV197)*Source!I197, 2), 2)</f>
        <v>37711.24</v>
      </c>
      <c r="R261">
        <f>Source!X197</f>
        <v>37711.24</v>
      </c>
      <c r="S261">
        <f>ROUND((Source!CA197/100)*ROUND((Source!AF197*Source!AV197)*Source!I197, 2), 2)</f>
        <v>5387.32</v>
      </c>
      <c r="T261">
        <f>Source!Y197</f>
        <v>5387.32</v>
      </c>
      <c r="U261">
        <f>ROUND((175/100)*ROUND((Source!AE197*Source!AV197)*Source!I197, 2), 2)</f>
        <v>542.78</v>
      </c>
      <c r="V261">
        <f>ROUND((108/100)*ROUND(Source!CS197*Source!I197, 2), 2)</f>
        <v>334.97</v>
      </c>
    </row>
    <row r="262" spans="1:22" ht="14.25" x14ac:dyDescent="0.2">
      <c r="A262" s="15"/>
      <c r="B262" s="16"/>
      <c r="C262" s="16" t="s">
        <v>360</v>
      </c>
      <c r="D262" s="17"/>
      <c r="E262" s="9"/>
      <c r="F262" s="19">
        <f>Source!AO197</f>
        <v>12243.91</v>
      </c>
      <c r="G262" s="18" t="str">
        <f>Source!DG197</f>
        <v/>
      </c>
      <c r="H262" s="9">
        <f>Source!AV197</f>
        <v>1</v>
      </c>
      <c r="I262" s="9">
        <f>IF(Source!BA197&lt;&gt; 0, Source!BA197, 1)</f>
        <v>1</v>
      </c>
      <c r="J262" s="20">
        <f>Source!S197</f>
        <v>53873.2</v>
      </c>
      <c r="K262" s="20"/>
    </row>
    <row r="263" spans="1:22" ht="14.25" x14ac:dyDescent="0.2">
      <c r="A263" s="15"/>
      <c r="B263" s="16"/>
      <c r="C263" s="16" t="s">
        <v>361</v>
      </c>
      <c r="D263" s="17"/>
      <c r="E263" s="9"/>
      <c r="F263" s="19">
        <f>Source!AM197</f>
        <v>140.97999999999999</v>
      </c>
      <c r="G263" s="18" t="str">
        <f>Source!DE197</f>
        <v/>
      </c>
      <c r="H263" s="9">
        <f>Source!AV197</f>
        <v>1</v>
      </c>
      <c r="I263" s="9">
        <f>IF(Source!BB197&lt;&gt; 0, Source!BB197, 1)</f>
        <v>1</v>
      </c>
      <c r="J263" s="20">
        <f>Source!Q197</f>
        <v>620.30999999999995</v>
      </c>
      <c r="K263" s="20"/>
    </row>
    <row r="264" spans="1:22" ht="14.25" x14ac:dyDescent="0.2">
      <c r="A264" s="15"/>
      <c r="B264" s="16"/>
      <c r="C264" s="16" t="s">
        <v>362</v>
      </c>
      <c r="D264" s="17"/>
      <c r="E264" s="9"/>
      <c r="F264" s="19">
        <f>Source!AN197</f>
        <v>70.489999999999995</v>
      </c>
      <c r="G264" s="18" t="str">
        <f>Source!DF197</f>
        <v/>
      </c>
      <c r="H264" s="9">
        <f>Source!AV197</f>
        <v>1</v>
      </c>
      <c r="I264" s="9">
        <f>IF(Source!BS197&lt;&gt; 0, Source!BS197, 1)</f>
        <v>1</v>
      </c>
      <c r="J264" s="22">
        <f>Source!R197</f>
        <v>310.16000000000003</v>
      </c>
      <c r="K264" s="20"/>
    </row>
    <row r="265" spans="1:22" ht="14.25" x14ac:dyDescent="0.2">
      <c r="A265" s="15"/>
      <c r="B265" s="16"/>
      <c r="C265" s="16" t="s">
        <v>369</v>
      </c>
      <c r="D265" s="17"/>
      <c r="E265" s="9"/>
      <c r="F265" s="19">
        <f>Source!AL197</f>
        <v>28627.56</v>
      </c>
      <c r="G265" s="18" t="str">
        <f>Source!DD197</f>
        <v/>
      </c>
      <c r="H265" s="9">
        <f>Source!AW197</f>
        <v>1</v>
      </c>
      <c r="I265" s="9">
        <f>IF(Source!BC197&lt;&gt; 0, Source!BC197, 1)</f>
        <v>1</v>
      </c>
      <c r="J265" s="20">
        <f>Source!P197</f>
        <v>125961.26</v>
      </c>
      <c r="K265" s="20"/>
    </row>
    <row r="266" spans="1:22" ht="14.25" x14ac:dyDescent="0.2">
      <c r="A266" s="15"/>
      <c r="B266" s="16"/>
      <c r="C266" s="16" t="s">
        <v>363</v>
      </c>
      <c r="D266" s="17" t="s">
        <v>364</v>
      </c>
      <c r="E266" s="9">
        <f>Source!AT197</f>
        <v>70</v>
      </c>
      <c r="F266" s="19"/>
      <c r="G266" s="18"/>
      <c r="H266" s="9"/>
      <c r="I266" s="9"/>
      <c r="J266" s="20">
        <f>SUM(R261:R265)</f>
        <v>37711.24</v>
      </c>
      <c r="K266" s="20"/>
    </row>
    <row r="267" spans="1:22" ht="14.25" x14ac:dyDescent="0.2">
      <c r="A267" s="15"/>
      <c r="B267" s="16"/>
      <c r="C267" s="16" t="s">
        <v>365</v>
      </c>
      <c r="D267" s="17" t="s">
        <v>364</v>
      </c>
      <c r="E267" s="9">
        <f>Source!AU197</f>
        <v>10</v>
      </c>
      <c r="F267" s="19"/>
      <c r="G267" s="18"/>
      <c r="H267" s="9"/>
      <c r="I267" s="9"/>
      <c r="J267" s="20">
        <f>SUM(T261:T266)</f>
        <v>5387.32</v>
      </c>
      <c r="K267" s="20"/>
    </row>
    <row r="268" spans="1:22" ht="14.25" x14ac:dyDescent="0.2">
      <c r="A268" s="15"/>
      <c r="B268" s="16"/>
      <c r="C268" s="16" t="s">
        <v>366</v>
      </c>
      <c r="D268" s="17" t="s">
        <v>364</v>
      </c>
      <c r="E268" s="9">
        <f>108</f>
        <v>108</v>
      </c>
      <c r="F268" s="19"/>
      <c r="G268" s="18"/>
      <c r="H268" s="9"/>
      <c r="I268" s="9"/>
      <c r="J268" s="20">
        <f>SUM(V261:V267)</f>
        <v>334.97</v>
      </c>
      <c r="K268" s="20"/>
    </row>
    <row r="269" spans="1:22" ht="14.25" x14ac:dyDescent="0.2">
      <c r="A269" s="15"/>
      <c r="B269" s="16"/>
      <c r="C269" s="16" t="s">
        <v>367</v>
      </c>
      <c r="D269" s="17" t="s">
        <v>368</v>
      </c>
      <c r="E269" s="9">
        <f>Source!AQ197</f>
        <v>72.95</v>
      </c>
      <c r="F269" s="19"/>
      <c r="G269" s="18" t="str">
        <f>Source!DI197</f>
        <v/>
      </c>
      <c r="H269" s="9">
        <f>Source!AV197</f>
        <v>1</v>
      </c>
      <c r="I269" s="9"/>
      <c r="J269" s="20"/>
      <c r="K269" s="20">
        <f>Source!U197</f>
        <v>320.98</v>
      </c>
    </row>
    <row r="270" spans="1:22" ht="15" x14ac:dyDescent="0.25">
      <c r="A270" s="25"/>
      <c r="B270" s="25"/>
      <c r="C270" s="25"/>
      <c r="D270" s="25"/>
      <c r="E270" s="25"/>
      <c r="F270" s="25"/>
      <c r="G270" s="25"/>
      <c r="H270" s="25"/>
      <c r="I270" s="45">
        <f>J262+J263+J265+J266+J267+J268</f>
        <v>223888.3</v>
      </c>
      <c r="J270" s="45"/>
      <c r="K270" s="26">
        <f>IF(Source!I197&lt;&gt;0, ROUND(I270/Source!I197, 2), 0)</f>
        <v>50883.7</v>
      </c>
      <c r="P270" s="23">
        <f>I270</f>
        <v>223888.3</v>
      </c>
    </row>
    <row r="272" spans="1:22" ht="15" x14ac:dyDescent="0.25">
      <c r="A272" s="48" t="str">
        <f>CONCATENATE("Итого по подразделу: ",IF(Source!G199&lt;&gt;"Новый подраздел", Source!G199, ""))</f>
        <v>Итого по подразделу: Замена садового бортового камня - 440м.п.</v>
      </c>
      <c r="B272" s="48"/>
      <c r="C272" s="48"/>
      <c r="D272" s="48"/>
      <c r="E272" s="48"/>
      <c r="F272" s="48"/>
      <c r="G272" s="48"/>
      <c r="H272" s="48"/>
      <c r="I272" s="46">
        <f>SUM(P237:P271)</f>
        <v>256472.41999999998</v>
      </c>
      <c r="J272" s="47"/>
      <c r="K272" s="27"/>
    </row>
    <row r="275" spans="1:22" ht="15" x14ac:dyDescent="0.25">
      <c r="A275" s="48" t="str">
        <f>CONCATENATE("Итого по разделу: ",IF(Source!G228&lt;&gt;"Новый раздел", Source!G228, ""))</f>
        <v>Итого по разделу: Замена бортового камня</v>
      </c>
      <c r="B275" s="48"/>
      <c r="C275" s="48"/>
      <c r="D275" s="48"/>
      <c r="E275" s="48"/>
      <c r="F275" s="48"/>
      <c r="G275" s="48"/>
      <c r="H275" s="48"/>
      <c r="I275" s="46">
        <f>SUM(P212:P274)</f>
        <v>331278.25</v>
      </c>
      <c r="J275" s="47"/>
      <c r="K275" s="27"/>
    </row>
    <row r="278" spans="1:22" ht="16.5" x14ac:dyDescent="0.25">
      <c r="A278" s="49" t="str">
        <f>CONCATENATE("Раздел: ",IF(Source!G257&lt;&gt;"Новый раздел", Source!G257, ""))</f>
        <v>Раздел: Устройство площадки ПДД - 85,7м2</v>
      </c>
      <c r="B278" s="49"/>
      <c r="C278" s="49"/>
      <c r="D278" s="49"/>
      <c r="E278" s="49"/>
      <c r="F278" s="49"/>
      <c r="G278" s="49"/>
      <c r="H278" s="49"/>
      <c r="I278" s="49"/>
      <c r="J278" s="49"/>
      <c r="K278" s="49"/>
    </row>
    <row r="279" spans="1:22" ht="57" x14ac:dyDescent="0.2">
      <c r="A279" s="15" t="str">
        <f>Source!E261</f>
        <v>31</v>
      </c>
      <c r="B279" s="16" t="str">
        <f>Source!F261</f>
        <v>2.49-3101-3-1/1</v>
      </c>
      <c r="C279" s="16" t="str">
        <f>Source!G261</f>
        <v>Разработка грунта с погрузкой на автомобили-самосвалы экскаваторами с ковшом вместимостью 0,8 м3, группа грунтов 1-3</v>
      </c>
      <c r="D279" s="17" t="str">
        <f>Source!H261</f>
        <v>100 м3</v>
      </c>
      <c r="E279" s="9">
        <f>Source!I261</f>
        <v>0.30852000000000002</v>
      </c>
      <c r="F279" s="19"/>
      <c r="G279" s="18"/>
      <c r="H279" s="9"/>
      <c r="I279" s="9"/>
      <c r="J279" s="20"/>
      <c r="K279" s="20"/>
      <c r="Q279">
        <f>ROUND((Source!BZ261/100)*ROUND((Source!AF261*Source!AV261)*Source!I261, 2), 2)</f>
        <v>33.82</v>
      </c>
      <c r="R279">
        <f>Source!X261</f>
        <v>33.82</v>
      </c>
      <c r="S279">
        <f>ROUND((Source!CA261/100)*ROUND((Source!AF261*Source!AV261)*Source!I261, 2), 2)</f>
        <v>4.83</v>
      </c>
      <c r="T279">
        <f>Source!Y261</f>
        <v>4.83</v>
      </c>
      <c r="U279">
        <f>ROUND((175/100)*ROUND((Source!AE261*Source!AV261)*Source!I261, 2), 2)</f>
        <v>1086.51</v>
      </c>
      <c r="V279">
        <f>ROUND((108/100)*ROUND(Source!CS261*Source!I261, 2), 2)</f>
        <v>670.53</v>
      </c>
    </row>
    <row r="280" spans="1:22" x14ac:dyDescent="0.2">
      <c r="C280" s="21" t="str">
        <f>"Объем: "&amp;Source!I261&amp;"=85,7*"&amp;"0,36/"&amp;"100"</f>
        <v>Объем: 0,30852=85,7*0,36/100</v>
      </c>
    </row>
    <row r="281" spans="1:22" ht="14.25" x14ac:dyDescent="0.2">
      <c r="A281" s="15"/>
      <c r="B281" s="16"/>
      <c r="C281" s="16" t="s">
        <v>360</v>
      </c>
      <c r="D281" s="17"/>
      <c r="E281" s="9"/>
      <c r="F281" s="19">
        <f>Source!AO261</f>
        <v>156.61000000000001</v>
      </c>
      <c r="G281" s="18" t="str">
        <f>Source!DG261</f>
        <v/>
      </c>
      <c r="H281" s="9">
        <f>Source!AV261</f>
        <v>1</v>
      </c>
      <c r="I281" s="9">
        <f>IF(Source!BA261&lt;&gt; 0, Source!BA261, 1)</f>
        <v>1</v>
      </c>
      <c r="J281" s="20">
        <f>Source!S261</f>
        <v>48.32</v>
      </c>
      <c r="K281" s="20"/>
    </row>
    <row r="282" spans="1:22" ht="14.25" x14ac:dyDescent="0.2">
      <c r="A282" s="15"/>
      <c r="B282" s="16"/>
      <c r="C282" s="16" t="s">
        <v>361</v>
      </c>
      <c r="D282" s="17"/>
      <c r="E282" s="9"/>
      <c r="F282" s="19">
        <f>Source!AM261</f>
        <v>4943.3</v>
      </c>
      <c r="G282" s="18" t="str">
        <f>Source!DE261</f>
        <v/>
      </c>
      <c r="H282" s="9">
        <f>Source!AV261</f>
        <v>1</v>
      </c>
      <c r="I282" s="9">
        <f>IF(Source!BB261&lt;&gt; 0, Source!BB261, 1)</f>
        <v>1</v>
      </c>
      <c r="J282" s="20">
        <f>Source!Q261</f>
        <v>1525.11</v>
      </c>
      <c r="K282" s="20"/>
    </row>
    <row r="283" spans="1:22" ht="14.25" x14ac:dyDescent="0.2">
      <c r="A283" s="15"/>
      <c r="B283" s="16"/>
      <c r="C283" s="16" t="s">
        <v>362</v>
      </c>
      <c r="D283" s="17"/>
      <c r="E283" s="9"/>
      <c r="F283" s="19">
        <f>Source!AN261</f>
        <v>2012.38</v>
      </c>
      <c r="G283" s="18" t="str">
        <f>Source!DF261</f>
        <v/>
      </c>
      <c r="H283" s="9">
        <f>Source!AV261</f>
        <v>1</v>
      </c>
      <c r="I283" s="9">
        <f>IF(Source!BS261&lt;&gt; 0, Source!BS261, 1)</f>
        <v>1</v>
      </c>
      <c r="J283" s="22">
        <f>Source!R261</f>
        <v>620.86</v>
      </c>
      <c r="K283" s="20"/>
    </row>
    <row r="284" spans="1:22" ht="14.25" x14ac:dyDescent="0.2">
      <c r="A284" s="15"/>
      <c r="B284" s="16"/>
      <c r="C284" s="16" t="s">
        <v>363</v>
      </c>
      <c r="D284" s="17" t="s">
        <v>364</v>
      </c>
      <c r="E284" s="9">
        <f>Source!AT261</f>
        <v>70</v>
      </c>
      <c r="F284" s="19"/>
      <c r="G284" s="18"/>
      <c r="H284" s="9"/>
      <c r="I284" s="9"/>
      <c r="J284" s="20">
        <f>SUM(R279:R283)</f>
        <v>33.82</v>
      </c>
      <c r="K284" s="20"/>
    </row>
    <row r="285" spans="1:22" ht="14.25" x14ac:dyDescent="0.2">
      <c r="A285" s="15"/>
      <c r="B285" s="16"/>
      <c r="C285" s="16" t="s">
        <v>365</v>
      </c>
      <c r="D285" s="17" t="s">
        <v>364</v>
      </c>
      <c r="E285" s="9">
        <f>Source!AU261</f>
        <v>10</v>
      </c>
      <c r="F285" s="19"/>
      <c r="G285" s="18"/>
      <c r="H285" s="9"/>
      <c r="I285" s="9"/>
      <c r="J285" s="20">
        <f>SUM(T279:T284)</f>
        <v>4.83</v>
      </c>
      <c r="K285" s="20"/>
    </row>
    <row r="286" spans="1:22" ht="14.25" x14ac:dyDescent="0.2">
      <c r="A286" s="15"/>
      <c r="B286" s="16"/>
      <c r="C286" s="16" t="s">
        <v>366</v>
      </c>
      <c r="D286" s="17" t="s">
        <v>364</v>
      </c>
      <c r="E286" s="9">
        <f>108</f>
        <v>108</v>
      </c>
      <c r="F286" s="19"/>
      <c r="G286" s="18"/>
      <c r="H286" s="9"/>
      <c r="I286" s="9"/>
      <c r="J286" s="20">
        <f>SUM(V279:V285)</f>
        <v>670.53</v>
      </c>
      <c r="K286" s="20"/>
    </row>
    <row r="287" spans="1:22" ht="14.25" x14ac:dyDescent="0.2">
      <c r="A287" s="15"/>
      <c r="B287" s="16"/>
      <c r="C287" s="16" t="s">
        <v>367</v>
      </c>
      <c r="D287" s="17" t="s">
        <v>368</v>
      </c>
      <c r="E287" s="9">
        <f>Source!AQ261</f>
        <v>1.05</v>
      </c>
      <c r="F287" s="19"/>
      <c r="G287" s="18" t="str">
        <f>Source!DI261</f>
        <v/>
      </c>
      <c r="H287" s="9">
        <f>Source!AV261</f>
        <v>1</v>
      </c>
      <c r="I287" s="9"/>
      <c r="J287" s="20"/>
      <c r="K287" s="20">
        <f>Source!U261</f>
        <v>0.32394600000000001</v>
      </c>
    </row>
    <row r="288" spans="1:22" ht="15" x14ac:dyDescent="0.25">
      <c r="A288" s="25"/>
      <c r="B288" s="25"/>
      <c r="C288" s="25"/>
      <c r="D288" s="25"/>
      <c r="E288" s="25"/>
      <c r="F288" s="25"/>
      <c r="G288" s="25"/>
      <c r="H288" s="25"/>
      <c r="I288" s="45">
        <f>J281+J282+J284+J285+J286</f>
        <v>2282.6099999999997</v>
      </c>
      <c r="J288" s="45"/>
      <c r="K288" s="26">
        <f>IF(Source!I261&lt;&gt;0, ROUND(I288/Source!I261, 2), 0)</f>
        <v>7398.58</v>
      </c>
      <c r="P288" s="23">
        <f>I288</f>
        <v>2282.6099999999997</v>
      </c>
    </row>
    <row r="289" spans="1:22" ht="42.75" x14ac:dyDescent="0.2">
      <c r="A289" s="15" t="str">
        <f>Source!E262</f>
        <v>32</v>
      </c>
      <c r="B289" s="16" t="str">
        <f>Source!F262</f>
        <v>2.49-3401-1-1/1</v>
      </c>
      <c r="C289" s="16" t="str">
        <f>Source!G262</f>
        <v>Перевозка грунта автосамосвалами грузоподъемностью до 10 т на расстояние 1 км</v>
      </c>
      <c r="D289" s="17" t="str">
        <f>Source!H262</f>
        <v>м3</v>
      </c>
      <c r="E289" s="9">
        <f>Source!I262</f>
        <v>30.852</v>
      </c>
      <c r="F289" s="19"/>
      <c r="G289" s="18"/>
      <c r="H289" s="9"/>
      <c r="I289" s="9"/>
      <c r="J289" s="20"/>
      <c r="K289" s="20"/>
      <c r="Q289">
        <f>ROUND((Source!BZ262/100)*ROUND((Source!AF262*Source!AV262)*Source!I262, 2), 2)</f>
        <v>0</v>
      </c>
      <c r="R289">
        <f>Source!X262</f>
        <v>0</v>
      </c>
      <c r="S289">
        <f>ROUND((Source!CA262/100)*ROUND((Source!AF262*Source!AV262)*Source!I262, 2), 2)</f>
        <v>0</v>
      </c>
      <c r="T289">
        <f>Source!Y262</f>
        <v>0</v>
      </c>
      <c r="U289">
        <f>ROUND((175/100)*ROUND((Source!AE262*Source!AV262)*Source!I262, 2), 2)</f>
        <v>2257.9</v>
      </c>
      <c r="V289">
        <f>ROUND((108/100)*ROUND(Source!CS262*Source!I262, 2), 2)</f>
        <v>1393.45</v>
      </c>
    </row>
    <row r="290" spans="1:22" x14ac:dyDescent="0.2">
      <c r="C290" s="21" t="str">
        <f>"Объем: "&amp;Source!I262&amp;"="&amp;Source!I261&amp;"*"&amp;"100"</f>
        <v>Объем: 30,852=0,30852*100</v>
      </c>
    </row>
    <row r="291" spans="1:22" ht="14.25" x14ac:dyDescent="0.2">
      <c r="A291" s="15"/>
      <c r="B291" s="16"/>
      <c r="C291" s="16" t="s">
        <v>361</v>
      </c>
      <c r="D291" s="17"/>
      <c r="E291" s="9"/>
      <c r="F291" s="19">
        <f>Source!AM262</f>
        <v>56.28</v>
      </c>
      <c r="G291" s="18" t="str">
        <f>Source!DE262</f>
        <v/>
      </c>
      <c r="H291" s="9">
        <f>Source!AV262</f>
        <v>1</v>
      </c>
      <c r="I291" s="9">
        <f>IF(Source!BB262&lt;&gt; 0, Source!BB262, 1)</f>
        <v>1</v>
      </c>
      <c r="J291" s="20">
        <f>Source!Q262</f>
        <v>1736.35</v>
      </c>
      <c r="K291" s="20"/>
    </row>
    <row r="292" spans="1:22" ht="14.25" x14ac:dyDescent="0.2">
      <c r="A292" s="15"/>
      <c r="B292" s="16"/>
      <c r="C292" s="16" t="s">
        <v>362</v>
      </c>
      <c r="D292" s="17"/>
      <c r="E292" s="9"/>
      <c r="F292" s="19">
        <f>Source!AN262</f>
        <v>41.82</v>
      </c>
      <c r="G292" s="18" t="str">
        <f>Source!DF262</f>
        <v/>
      </c>
      <c r="H292" s="9">
        <f>Source!AV262</f>
        <v>1</v>
      </c>
      <c r="I292" s="9">
        <f>IF(Source!BS262&lt;&gt; 0, Source!BS262, 1)</f>
        <v>1</v>
      </c>
      <c r="J292" s="22">
        <f>Source!R262</f>
        <v>1290.23</v>
      </c>
      <c r="K292" s="20"/>
    </row>
    <row r="293" spans="1:22" ht="15" x14ac:dyDescent="0.25">
      <c r="A293" s="25"/>
      <c r="B293" s="25"/>
      <c r="C293" s="25"/>
      <c r="D293" s="25"/>
      <c r="E293" s="25"/>
      <c r="F293" s="25"/>
      <c r="G293" s="25"/>
      <c r="H293" s="25"/>
      <c r="I293" s="45">
        <f>J291</f>
        <v>1736.35</v>
      </c>
      <c r="J293" s="45"/>
      <c r="K293" s="26">
        <f>IF(Source!I262&lt;&gt;0, ROUND(I293/Source!I262, 2), 0)</f>
        <v>56.28</v>
      </c>
      <c r="P293" s="23">
        <f>I293</f>
        <v>1736.35</v>
      </c>
    </row>
    <row r="294" spans="1:22" ht="57" x14ac:dyDescent="0.2">
      <c r="A294" s="15" t="str">
        <f>Source!E263</f>
        <v>33</v>
      </c>
      <c r="B294" s="16" t="str">
        <f>Source!F263</f>
        <v>2.49-3401-1-2/1</v>
      </c>
      <c r="C294" s="16" t="str">
        <f>Source!G263</f>
        <v>Перевозка грунта автосамосвалами грузоподъемностью до 10 т - добавляется на каждый последующий 1 км до 100 км (к поз. 49-3401-1-1)</v>
      </c>
      <c r="D294" s="17" t="str">
        <f>Source!H263</f>
        <v>м3</v>
      </c>
      <c r="E294" s="9">
        <f>Source!I263</f>
        <v>30.852</v>
      </c>
      <c r="F294" s="19"/>
      <c r="G294" s="18"/>
      <c r="H294" s="9"/>
      <c r="I294" s="9"/>
      <c r="J294" s="20"/>
      <c r="K294" s="20"/>
      <c r="Q294">
        <f>ROUND((Source!BZ263/100)*ROUND((Source!AF263*Source!AV263)*Source!I263, 2), 2)</f>
        <v>0</v>
      </c>
      <c r="R294">
        <f>Source!X263</f>
        <v>0</v>
      </c>
      <c r="S294">
        <f>ROUND((Source!CA263/100)*ROUND((Source!AF263*Source!AV263)*Source!I263, 2), 2)</f>
        <v>0</v>
      </c>
      <c r="T294">
        <f>Source!Y263</f>
        <v>0</v>
      </c>
      <c r="U294">
        <f>ROUND((175/100)*ROUND((Source!AE263*Source!AV263)*Source!I263, 2), 2)</f>
        <v>18936.8</v>
      </c>
      <c r="V294">
        <f>ROUND((108/100)*ROUND(Source!CS263*Source!I263, 2), 2)</f>
        <v>11686.71</v>
      </c>
    </row>
    <row r="295" spans="1:22" ht="14.25" x14ac:dyDescent="0.2">
      <c r="A295" s="15"/>
      <c r="B295" s="16"/>
      <c r="C295" s="16" t="s">
        <v>361</v>
      </c>
      <c r="D295" s="17"/>
      <c r="E295" s="9"/>
      <c r="F295" s="19">
        <f>Source!AM263</f>
        <v>18.16</v>
      </c>
      <c r="G295" s="18" t="str">
        <f>Source!DE263</f>
        <v>*26</v>
      </c>
      <c r="H295" s="9">
        <f>Source!AV263</f>
        <v>1</v>
      </c>
      <c r="I295" s="9">
        <f>IF(Source!BB263&lt;&gt; 0, Source!BB263, 1)</f>
        <v>1</v>
      </c>
      <c r="J295" s="20">
        <f>Source!Q263</f>
        <v>14567.08</v>
      </c>
      <c r="K295" s="20"/>
    </row>
    <row r="296" spans="1:22" ht="14.25" x14ac:dyDescent="0.2">
      <c r="A296" s="15"/>
      <c r="B296" s="16"/>
      <c r="C296" s="16" t="s">
        <v>362</v>
      </c>
      <c r="D296" s="17"/>
      <c r="E296" s="9"/>
      <c r="F296" s="19">
        <f>Source!AN263</f>
        <v>13.49</v>
      </c>
      <c r="G296" s="18" t="str">
        <f>Source!DF263</f>
        <v>*26</v>
      </c>
      <c r="H296" s="9">
        <f>Source!AV263</f>
        <v>1</v>
      </c>
      <c r="I296" s="9">
        <f>IF(Source!BS263&lt;&gt; 0, Source!BS263, 1)</f>
        <v>1</v>
      </c>
      <c r="J296" s="22">
        <f>Source!R263</f>
        <v>10821.03</v>
      </c>
      <c r="K296" s="20"/>
    </row>
    <row r="297" spans="1:22" ht="15" x14ac:dyDescent="0.25">
      <c r="A297" s="25"/>
      <c r="B297" s="25"/>
      <c r="C297" s="25"/>
      <c r="D297" s="25"/>
      <c r="E297" s="25"/>
      <c r="F297" s="25"/>
      <c r="G297" s="25"/>
      <c r="H297" s="25"/>
      <c r="I297" s="45">
        <f>J295</f>
        <v>14567.08</v>
      </c>
      <c r="J297" s="45"/>
      <c r="K297" s="26">
        <f>IF(Source!I263&lt;&gt;0, ROUND(I297/Source!I263, 2), 0)</f>
        <v>472.16</v>
      </c>
      <c r="P297" s="23">
        <f>I297</f>
        <v>14567.08</v>
      </c>
    </row>
    <row r="298" spans="1:22" ht="42.75" x14ac:dyDescent="0.2">
      <c r="A298" s="15" t="str">
        <f>Source!E264</f>
        <v>34</v>
      </c>
      <c r="B298" s="16" t="str">
        <f>Source!F264</f>
        <v>2.1-3303-1-1/1</v>
      </c>
      <c r="C298" s="16" t="str">
        <f>Source!G264</f>
        <v>Устройство подстилающих и выравнивающих слоев оснований из песка</v>
      </c>
      <c r="D298" s="17" t="str">
        <f>Source!H264</f>
        <v>100 м3</v>
      </c>
      <c r="E298" s="9">
        <f>Source!I264</f>
        <v>8.5699999999999998E-2</v>
      </c>
      <c r="F298" s="19"/>
      <c r="G298" s="18"/>
      <c r="H298" s="9"/>
      <c r="I298" s="9"/>
      <c r="J298" s="20"/>
      <c r="K298" s="20"/>
      <c r="Q298">
        <f>ROUND((Source!BZ264/100)*ROUND((Source!AF264*Source!AV264)*Source!I264, 2), 2)</f>
        <v>153.43</v>
      </c>
      <c r="R298">
        <f>Source!X264</f>
        <v>153.43</v>
      </c>
      <c r="S298">
        <f>ROUND((Source!CA264/100)*ROUND((Source!AF264*Source!AV264)*Source!I264, 2), 2)</f>
        <v>21.92</v>
      </c>
      <c r="T298">
        <f>Source!Y264</f>
        <v>21.92</v>
      </c>
      <c r="U298">
        <f>ROUND((175/100)*ROUND((Source!AE264*Source!AV264)*Source!I264, 2), 2)</f>
        <v>400.38</v>
      </c>
      <c r="V298">
        <f>ROUND((108/100)*ROUND(Source!CS264*Source!I264, 2), 2)</f>
        <v>247.09</v>
      </c>
    </row>
    <row r="299" spans="1:22" x14ac:dyDescent="0.2">
      <c r="C299" s="21" t="str">
        <f>"Объем: "&amp;Source!I264&amp;"=85,7*"&amp;"0,1/"&amp;"100"</f>
        <v>Объем: 0,0857=85,7*0,1/100</v>
      </c>
    </row>
    <row r="300" spans="1:22" ht="14.25" x14ac:dyDescent="0.2">
      <c r="A300" s="15"/>
      <c r="B300" s="16"/>
      <c r="C300" s="16" t="s">
        <v>360</v>
      </c>
      <c r="D300" s="17"/>
      <c r="E300" s="9"/>
      <c r="F300" s="19">
        <f>Source!AO264</f>
        <v>2557.69</v>
      </c>
      <c r="G300" s="18" t="str">
        <f>Source!DG264</f>
        <v/>
      </c>
      <c r="H300" s="9">
        <f>Source!AV264</f>
        <v>1</v>
      </c>
      <c r="I300" s="9">
        <f>IF(Source!BA264&lt;&gt; 0, Source!BA264, 1)</f>
        <v>1</v>
      </c>
      <c r="J300" s="20">
        <f>Source!S264</f>
        <v>219.19</v>
      </c>
      <c r="K300" s="20"/>
    </row>
    <row r="301" spans="1:22" ht="14.25" x14ac:dyDescent="0.2">
      <c r="A301" s="15"/>
      <c r="B301" s="16"/>
      <c r="C301" s="16" t="s">
        <v>361</v>
      </c>
      <c r="D301" s="17"/>
      <c r="E301" s="9"/>
      <c r="F301" s="19">
        <f>Source!AM264</f>
        <v>7173.55</v>
      </c>
      <c r="G301" s="18" t="str">
        <f>Source!DE264</f>
        <v/>
      </c>
      <c r="H301" s="9">
        <f>Source!AV264</f>
        <v>1</v>
      </c>
      <c r="I301" s="9">
        <f>IF(Source!BB264&lt;&gt; 0, Source!BB264, 1)</f>
        <v>1</v>
      </c>
      <c r="J301" s="20">
        <f>Source!Q264</f>
        <v>614.77</v>
      </c>
      <c r="K301" s="20"/>
    </row>
    <row r="302" spans="1:22" ht="14.25" x14ac:dyDescent="0.2">
      <c r="A302" s="15"/>
      <c r="B302" s="16"/>
      <c r="C302" s="16" t="s">
        <v>362</v>
      </c>
      <c r="D302" s="17"/>
      <c r="E302" s="9"/>
      <c r="F302" s="19">
        <f>Source!AN264</f>
        <v>2669.64</v>
      </c>
      <c r="G302" s="18" t="str">
        <f>Source!DF264</f>
        <v/>
      </c>
      <c r="H302" s="9">
        <f>Source!AV264</f>
        <v>1</v>
      </c>
      <c r="I302" s="9">
        <f>IF(Source!BS264&lt;&gt; 0, Source!BS264, 1)</f>
        <v>1</v>
      </c>
      <c r="J302" s="22">
        <f>Source!R264</f>
        <v>228.79</v>
      </c>
      <c r="K302" s="20"/>
    </row>
    <row r="303" spans="1:22" ht="14.25" x14ac:dyDescent="0.2">
      <c r="A303" s="15"/>
      <c r="B303" s="16"/>
      <c r="C303" s="16" t="s">
        <v>369</v>
      </c>
      <c r="D303" s="17"/>
      <c r="E303" s="9"/>
      <c r="F303" s="19">
        <f>Source!AL264</f>
        <v>61659.15</v>
      </c>
      <c r="G303" s="18" t="str">
        <f>Source!DD264</f>
        <v/>
      </c>
      <c r="H303" s="9">
        <f>Source!AW264</f>
        <v>1</v>
      </c>
      <c r="I303" s="9">
        <f>IF(Source!BC264&lt;&gt; 0, Source!BC264, 1)</f>
        <v>1</v>
      </c>
      <c r="J303" s="20">
        <f>Source!P264</f>
        <v>5284.19</v>
      </c>
      <c r="K303" s="20"/>
    </row>
    <row r="304" spans="1:22" ht="14.25" x14ac:dyDescent="0.2">
      <c r="A304" s="15"/>
      <c r="B304" s="16"/>
      <c r="C304" s="16" t="s">
        <v>363</v>
      </c>
      <c r="D304" s="17" t="s">
        <v>364</v>
      </c>
      <c r="E304" s="9">
        <f>Source!AT264</f>
        <v>70</v>
      </c>
      <c r="F304" s="19"/>
      <c r="G304" s="18"/>
      <c r="H304" s="9"/>
      <c r="I304" s="9"/>
      <c r="J304" s="20">
        <f>SUM(R298:R303)</f>
        <v>153.43</v>
      </c>
      <c r="K304" s="20"/>
    </row>
    <row r="305" spans="1:22" ht="14.25" x14ac:dyDescent="0.2">
      <c r="A305" s="15"/>
      <c r="B305" s="16"/>
      <c r="C305" s="16" t="s">
        <v>365</v>
      </c>
      <c r="D305" s="17" t="s">
        <v>364</v>
      </c>
      <c r="E305" s="9">
        <f>Source!AU264</f>
        <v>10</v>
      </c>
      <c r="F305" s="19"/>
      <c r="G305" s="18"/>
      <c r="H305" s="9"/>
      <c r="I305" s="9"/>
      <c r="J305" s="20">
        <f>SUM(T298:T304)</f>
        <v>21.92</v>
      </c>
      <c r="K305" s="20"/>
    </row>
    <row r="306" spans="1:22" ht="14.25" x14ac:dyDescent="0.2">
      <c r="A306" s="15"/>
      <c r="B306" s="16"/>
      <c r="C306" s="16" t="s">
        <v>366</v>
      </c>
      <c r="D306" s="17" t="s">
        <v>364</v>
      </c>
      <c r="E306" s="9">
        <f>108</f>
        <v>108</v>
      </c>
      <c r="F306" s="19"/>
      <c r="G306" s="18"/>
      <c r="H306" s="9"/>
      <c r="I306" s="9"/>
      <c r="J306" s="20">
        <f>SUM(V298:V305)</f>
        <v>247.09</v>
      </c>
      <c r="K306" s="20"/>
    </row>
    <row r="307" spans="1:22" ht="14.25" x14ac:dyDescent="0.2">
      <c r="A307" s="15"/>
      <c r="B307" s="16"/>
      <c r="C307" s="16" t="s">
        <v>367</v>
      </c>
      <c r="D307" s="17" t="s">
        <v>368</v>
      </c>
      <c r="E307" s="9">
        <f>Source!AQ264</f>
        <v>16.559999999999999</v>
      </c>
      <c r="F307" s="19"/>
      <c r="G307" s="18" t="str">
        <f>Source!DI264</f>
        <v/>
      </c>
      <c r="H307" s="9">
        <f>Source!AV264</f>
        <v>1</v>
      </c>
      <c r="I307" s="9"/>
      <c r="J307" s="20"/>
      <c r="K307" s="20">
        <f>Source!U264</f>
        <v>1.4191919999999998</v>
      </c>
    </row>
    <row r="308" spans="1:22" ht="15" x14ac:dyDescent="0.25">
      <c r="A308" s="25"/>
      <c r="B308" s="25"/>
      <c r="C308" s="25"/>
      <c r="D308" s="25"/>
      <c r="E308" s="25"/>
      <c r="F308" s="25"/>
      <c r="G308" s="25"/>
      <c r="H308" s="25"/>
      <c r="I308" s="45">
        <f>J300+J301+J303+J304+J305+J306</f>
        <v>6540.59</v>
      </c>
      <c r="J308" s="45"/>
      <c r="K308" s="26">
        <f>IF(Source!I264&lt;&gt;0, ROUND(I308/Source!I264, 2), 0)</f>
        <v>76319.600000000006</v>
      </c>
      <c r="P308" s="23">
        <f>I308</f>
        <v>6540.59</v>
      </c>
    </row>
    <row r="309" spans="1:22" ht="42.75" x14ac:dyDescent="0.2">
      <c r="A309" s="15" t="str">
        <f>Source!E265</f>
        <v>35</v>
      </c>
      <c r="B309" s="16" t="str">
        <f>Source!F265</f>
        <v>2.1-3303-1-2/1</v>
      </c>
      <c r="C309" s="16" t="str">
        <f>Source!G265</f>
        <v>Устройство подстилающих и выравнивающих слоев оснований из щебня</v>
      </c>
      <c r="D309" s="17" t="str">
        <f>Source!H265</f>
        <v>100 м3</v>
      </c>
      <c r="E309" s="9">
        <f>Source!I265</f>
        <v>8.5699999999999998E-2</v>
      </c>
      <c r="F309" s="19"/>
      <c r="G309" s="18"/>
      <c r="H309" s="9"/>
      <c r="I309" s="9"/>
      <c r="J309" s="20"/>
      <c r="K309" s="20"/>
      <c r="Q309">
        <f>ROUND((Source!BZ265/100)*ROUND((Source!AF265*Source!AV265)*Source!I265, 2), 2)</f>
        <v>230.15</v>
      </c>
      <c r="R309">
        <f>Source!X265</f>
        <v>230.15</v>
      </c>
      <c r="S309">
        <f>ROUND((Source!CA265/100)*ROUND((Source!AF265*Source!AV265)*Source!I265, 2), 2)</f>
        <v>32.880000000000003</v>
      </c>
      <c r="T309">
        <f>Source!Y265</f>
        <v>32.880000000000003</v>
      </c>
      <c r="U309">
        <f>ROUND((175/100)*ROUND((Source!AE265*Source!AV265)*Source!I265, 2), 2)</f>
        <v>2383.7600000000002</v>
      </c>
      <c r="V309">
        <f>ROUND((108/100)*ROUND(Source!CS265*Source!I265, 2), 2)</f>
        <v>1471.12</v>
      </c>
    </row>
    <row r="310" spans="1:22" ht="14.25" x14ac:dyDescent="0.2">
      <c r="A310" s="15"/>
      <c r="B310" s="16"/>
      <c r="C310" s="16" t="s">
        <v>360</v>
      </c>
      <c r="D310" s="17"/>
      <c r="E310" s="9"/>
      <c r="F310" s="19">
        <f>Source!AO265</f>
        <v>3836.54</v>
      </c>
      <c r="G310" s="18" t="str">
        <f>Source!DG265</f>
        <v/>
      </c>
      <c r="H310" s="9">
        <f>Source!AV265</f>
        <v>1</v>
      </c>
      <c r="I310" s="9">
        <f>IF(Source!BA265&lt;&gt; 0, Source!BA265, 1)</f>
        <v>1</v>
      </c>
      <c r="J310" s="20">
        <f>Source!S265</f>
        <v>328.79</v>
      </c>
      <c r="K310" s="20"/>
    </row>
    <row r="311" spans="1:22" ht="14.25" x14ac:dyDescent="0.2">
      <c r="A311" s="15"/>
      <c r="B311" s="16"/>
      <c r="C311" s="16" t="s">
        <v>361</v>
      </c>
      <c r="D311" s="17"/>
      <c r="E311" s="9"/>
      <c r="F311" s="19">
        <f>Source!AM265</f>
        <v>43302.76</v>
      </c>
      <c r="G311" s="18" t="str">
        <f>Source!DE265</f>
        <v/>
      </c>
      <c r="H311" s="9">
        <f>Source!AV265</f>
        <v>1</v>
      </c>
      <c r="I311" s="9">
        <f>IF(Source!BB265&lt;&gt; 0, Source!BB265, 1)</f>
        <v>1</v>
      </c>
      <c r="J311" s="20">
        <f>Source!Q265</f>
        <v>3711.05</v>
      </c>
      <c r="K311" s="20"/>
    </row>
    <row r="312" spans="1:22" ht="14.25" x14ac:dyDescent="0.2">
      <c r="A312" s="15"/>
      <c r="B312" s="16"/>
      <c r="C312" s="16" t="s">
        <v>362</v>
      </c>
      <c r="D312" s="17"/>
      <c r="E312" s="9"/>
      <c r="F312" s="19">
        <f>Source!AN265</f>
        <v>15894.37</v>
      </c>
      <c r="G312" s="18" t="str">
        <f>Source!DF265</f>
        <v/>
      </c>
      <c r="H312" s="9">
        <f>Source!AV265</f>
        <v>1</v>
      </c>
      <c r="I312" s="9">
        <f>IF(Source!BS265&lt;&gt; 0, Source!BS265, 1)</f>
        <v>1</v>
      </c>
      <c r="J312" s="22">
        <f>Source!R265</f>
        <v>1362.15</v>
      </c>
      <c r="K312" s="20"/>
    </row>
    <row r="313" spans="1:22" ht="14.25" x14ac:dyDescent="0.2">
      <c r="A313" s="15"/>
      <c r="B313" s="16"/>
      <c r="C313" s="16" t="s">
        <v>369</v>
      </c>
      <c r="D313" s="17"/>
      <c r="E313" s="9"/>
      <c r="F313" s="19">
        <f>Source!AL265</f>
        <v>240984.87</v>
      </c>
      <c r="G313" s="18" t="str">
        <f>Source!DD265</f>
        <v/>
      </c>
      <c r="H313" s="9">
        <f>Source!AW265</f>
        <v>1</v>
      </c>
      <c r="I313" s="9">
        <f>IF(Source!BC265&lt;&gt; 0, Source!BC265, 1)</f>
        <v>1</v>
      </c>
      <c r="J313" s="20">
        <f>Source!P265</f>
        <v>20652.400000000001</v>
      </c>
      <c r="K313" s="20"/>
    </row>
    <row r="314" spans="1:22" ht="14.25" x14ac:dyDescent="0.2">
      <c r="A314" s="15"/>
      <c r="B314" s="16"/>
      <c r="C314" s="16" t="s">
        <v>363</v>
      </c>
      <c r="D314" s="17" t="s">
        <v>364</v>
      </c>
      <c r="E314" s="9">
        <f>Source!AT265</f>
        <v>70</v>
      </c>
      <c r="F314" s="19"/>
      <c r="G314" s="18"/>
      <c r="H314" s="9"/>
      <c r="I314" s="9"/>
      <c r="J314" s="20">
        <f>SUM(R309:R313)</f>
        <v>230.15</v>
      </c>
      <c r="K314" s="20"/>
    </row>
    <row r="315" spans="1:22" ht="14.25" x14ac:dyDescent="0.2">
      <c r="A315" s="15"/>
      <c r="B315" s="16"/>
      <c r="C315" s="16" t="s">
        <v>365</v>
      </c>
      <c r="D315" s="17" t="s">
        <v>364</v>
      </c>
      <c r="E315" s="9">
        <f>Source!AU265</f>
        <v>10</v>
      </c>
      <c r="F315" s="19"/>
      <c r="G315" s="18"/>
      <c r="H315" s="9"/>
      <c r="I315" s="9"/>
      <c r="J315" s="20">
        <f>SUM(T309:T314)</f>
        <v>32.880000000000003</v>
      </c>
      <c r="K315" s="20"/>
    </row>
    <row r="316" spans="1:22" ht="14.25" x14ac:dyDescent="0.2">
      <c r="A316" s="15"/>
      <c r="B316" s="16"/>
      <c r="C316" s="16" t="s">
        <v>366</v>
      </c>
      <c r="D316" s="17" t="s">
        <v>364</v>
      </c>
      <c r="E316" s="9">
        <f>108</f>
        <v>108</v>
      </c>
      <c r="F316" s="19"/>
      <c r="G316" s="18"/>
      <c r="H316" s="9"/>
      <c r="I316" s="9"/>
      <c r="J316" s="20">
        <f>SUM(V309:V315)</f>
        <v>1471.12</v>
      </c>
      <c r="K316" s="20"/>
    </row>
    <row r="317" spans="1:22" ht="14.25" x14ac:dyDescent="0.2">
      <c r="A317" s="15"/>
      <c r="B317" s="16"/>
      <c r="C317" s="16" t="s">
        <v>367</v>
      </c>
      <c r="D317" s="17" t="s">
        <v>368</v>
      </c>
      <c r="E317" s="9">
        <f>Source!AQ265</f>
        <v>24.84</v>
      </c>
      <c r="F317" s="19"/>
      <c r="G317" s="18" t="str">
        <f>Source!DI265</f>
        <v/>
      </c>
      <c r="H317" s="9">
        <f>Source!AV265</f>
        <v>1</v>
      </c>
      <c r="I317" s="9"/>
      <c r="J317" s="20"/>
      <c r="K317" s="20">
        <f>Source!U265</f>
        <v>2.1287880000000001</v>
      </c>
    </row>
    <row r="318" spans="1:22" ht="15" x14ac:dyDescent="0.25">
      <c r="A318" s="25"/>
      <c r="B318" s="25"/>
      <c r="C318" s="25"/>
      <c r="D318" s="25"/>
      <c r="E318" s="25"/>
      <c r="F318" s="25"/>
      <c r="G318" s="25"/>
      <c r="H318" s="25"/>
      <c r="I318" s="45">
        <f>J310+J311+J313+J314+J315+J316</f>
        <v>26426.390000000003</v>
      </c>
      <c r="J318" s="45"/>
      <c r="K318" s="26">
        <f>IF(Source!I265&lt;&gt;0, ROUND(I318/Source!I265, 2), 0)</f>
        <v>308359.28000000003</v>
      </c>
      <c r="P318" s="23">
        <f>I318</f>
        <v>26426.390000000003</v>
      </c>
    </row>
    <row r="319" spans="1:22" ht="42.75" x14ac:dyDescent="0.2">
      <c r="A319" s="15" t="str">
        <f>Source!E266</f>
        <v>36</v>
      </c>
      <c r="B319" s="16" t="str">
        <f>Source!F266</f>
        <v>2.1-3103-18-1/1</v>
      </c>
      <c r="C319" s="16" t="str">
        <f>Source!G266</f>
        <v>Устройство покрытий из асфальтобетонных смесей вручную, толщина 4 см (до 5см)</v>
      </c>
      <c r="D319" s="17" t="str">
        <f>Source!H266</f>
        <v>100 м2</v>
      </c>
      <c r="E319" s="9">
        <f>Source!I266</f>
        <v>0.85699999999999998</v>
      </c>
      <c r="F319" s="19"/>
      <c r="G319" s="18"/>
      <c r="H319" s="9"/>
      <c r="I319" s="9"/>
      <c r="J319" s="20"/>
      <c r="K319" s="20"/>
      <c r="Q319">
        <f>ROUND((Source!BZ266/100)*ROUND((Source!AF266*Source!AV266)*Source!I266, 2), 2)</f>
        <v>1547.95</v>
      </c>
      <c r="R319">
        <f>Source!X266</f>
        <v>1547.95</v>
      </c>
      <c r="S319">
        <f>ROUND((Source!CA266/100)*ROUND((Source!AF266*Source!AV266)*Source!I266, 2), 2)</f>
        <v>221.14</v>
      </c>
      <c r="T319">
        <f>Source!Y266</f>
        <v>221.14</v>
      </c>
      <c r="U319">
        <f>ROUND((175/100)*ROUND((Source!AE266*Source!AV266)*Source!I266, 2), 2)</f>
        <v>1073.42</v>
      </c>
      <c r="V319">
        <f>ROUND((108/100)*ROUND(Source!CS266*Source!I266, 2), 2)</f>
        <v>662.45</v>
      </c>
    </row>
    <row r="320" spans="1:22" x14ac:dyDescent="0.2">
      <c r="C320" s="21" t="str">
        <f>"Объем: "&amp;Source!I266&amp;"=85,7/"&amp;"100"</f>
        <v>Объем: 0,857=85,7/100</v>
      </c>
    </row>
    <row r="321" spans="1:22" ht="14.25" x14ac:dyDescent="0.2">
      <c r="A321" s="15"/>
      <c r="B321" s="16"/>
      <c r="C321" s="16" t="s">
        <v>360</v>
      </c>
      <c r="D321" s="17"/>
      <c r="E321" s="9"/>
      <c r="F321" s="19">
        <f>Source!AO266</f>
        <v>2580.34</v>
      </c>
      <c r="G321" s="18" t="str">
        <f>Source!DG266</f>
        <v/>
      </c>
      <c r="H321" s="9">
        <f>Source!AV266</f>
        <v>1</v>
      </c>
      <c r="I321" s="9">
        <f>IF(Source!BA266&lt;&gt; 0, Source!BA266, 1)</f>
        <v>1</v>
      </c>
      <c r="J321" s="20">
        <f>Source!S266</f>
        <v>2211.35</v>
      </c>
      <c r="K321" s="20"/>
    </row>
    <row r="322" spans="1:22" ht="14.25" x14ac:dyDescent="0.2">
      <c r="A322" s="15"/>
      <c r="B322" s="16"/>
      <c r="C322" s="16" t="s">
        <v>361</v>
      </c>
      <c r="D322" s="17"/>
      <c r="E322" s="9"/>
      <c r="F322" s="19">
        <f>Source!AM266</f>
        <v>1235.5</v>
      </c>
      <c r="G322" s="18" t="str">
        <f>Source!DE266</f>
        <v/>
      </c>
      <c r="H322" s="9">
        <f>Source!AV266</f>
        <v>1</v>
      </c>
      <c r="I322" s="9">
        <f>IF(Source!BB266&lt;&gt; 0, Source!BB266, 1)</f>
        <v>1</v>
      </c>
      <c r="J322" s="20">
        <f>Source!Q266</f>
        <v>1058.82</v>
      </c>
      <c r="K322" s="20"/>
    </row>
    <row r="323" spans="1:22" ht="14.25" x14ac:dyDescent="0.2">
      <c r="A323" s="15"/>
      <c r="B323" s="16"/>
      <c r="C323" s="16" t="s">
        <v>362</v>
      </c>
      <c r="D323" s="17"/>
      <c r="E323" s="9"/>
      <c r="F323" s="19">
        <f>Source!AN266</f>
        <v>715.73</v>
      </c>
      <c r="G323" s="18" t="str">
        <f>Source!DF266</f>
        <v/>
      </c>
      <c r="H323" s="9">
        <f>Source!AV266</f>
        <v>1</v>
      </c>
      <c r="I323" s="9">
        <f>IF(Source!BS266&lt;&gt; 0, Source!BS266, 1)</f>
        <v>1</v>
      </c>
      <c r="J323" s="22">
        <f>Source!R266</f>
        <v>613.38</v>
      </c>
      <c r="K323" s="20"/>
    </row>
    <row r="324" spans="1:22" ht="14.25" x14ac:dyDescent="0.2">
      <c r="A324" s="15"/>
      <c r="B324" s="16"/>
      <c r="C324" s="16" t="s">
        <v>369</v>
      </c>
      <c r="D324" s="17"/>
      <c r="E324" s="9"/>
      <c r="F324" s="19">
        <f>Source!AL266</f>
        <v>22172.43</v>
      </c>
      <c r="G324" s="18" t="str">
        <f>Source!DD266</f>
        <v>/4*5</v>
      </c>
      <c r="H324" s="9">
        <f>Source!AW266</f>
        <v>1</v>
      </c>
      <c r="I324" s="9">
        <f>IF(Source!BC266&lt;&gt; 0, Source!BC266, 1)</f>
        <v>1</v>
      </c>
      <c r="J324" s="20">
        <f>Source!P266</f>
        <v>23752.22</v>
      </c>
      <c r="K324" s="20"/>
    </row>
    <row r="325" spans="1:22" ht="14.25" x14ac:dyDescent="0.2">
      <c r="A325" s="15"/>
      <c r="B325" s="16"/>
      <c r="C325" s="16" t="s">
        <v>363</v>
      </c>
      <c r="D325" s="17" t="s">
        <v>364</v>
      </c>
      <c r="E325" s="9">
        <f>Source!AT266</f>
        <v>70</v>
      </c>
      <c r="F325" s="19"/>
      <c r="G325" s="18"/>
      <c r="H325" s="9"/>
      <c r="I325" s="9"/>
      <c r="J325" s="20">
        <f>SUM(R319:R324)</f>
        <v>1547.95</v>
      </c>
      <c r="K325" s="20"/>
    </row>
    <row r="326" spans="1:22" ht="14.25" x14ac:dyDescent="0.2">
      <c r="A326" s="15"/>
      <c r="B326" s="16"/>
      <c r="C326" s="16" t="s">
        <v>365</v>
      </c>
      <c r="D326" s="17" t="s">
        <v>364</v>
      </c>
      <c r="E326" s="9">
        <f>Source!AU266</f>
        <v>10</v>
      </c>
      <c r="F326" s="19"/>
      <c r="G326" s="18"/>
      <c r="H326" s="9"/>
      <c r="I326" s="9"/>
      <c r="J326" s="20">
        <f>SUM(T319:T325)</f>
        <v>221.14</v>
      </c>
      <c r="K326" s="20"/>
    </row>
    <row r="327" spans="1:22" ht="14.25" x14ac:dyDescent="0.2">
      <c r="A327" s="15"/>
      <c r="B327" s="16"/>
      <c r="C327" s="16" t="s">
        <v>366</v>
      </c>
      <c r="D327" s="17" t="s">
        <v>364</v>
      </c>
      <c r="E327" s="9">
        <f>108</f>
        <v>108</v>
      </c>
      <c r="F327" s="19"/>
      <c r="G327" s="18"/>
      <c r="H327" s="9"/>
      <c r="I327" s="9"/>
      <c r="J327" s="20">
        <f>SUM(V319:V326)</f>
        <v>662.45</v>
      </c>
      <c r="K327" s="20"/>
    </row>
    <row r="328" spans="1:22" ht="14.25" x14ac:dyDescent="0.2">
      <c r="A328" s="15"/>
      <c r="B328" s="16"/>
      <c r="C328" s="16" t="s">
        <v>367</v>
      </c>
      <c r="D328" s="17" t="s">
        <v>368</v>
      </c>
      <c r="E328" s="9">
        <f>Source!AQ266</f>
        <v>13.57</v>
      </c>
      <c r="F328" s="19"/>
      <c r="G328" s="18" t="str">
        <f>Source!DI266</f>
        <v/>
      </c>
      <c r="H328" s="9">
        <f>Source!AV266</f>
        <v>1</v>
      </c>
      <c r="I328" s="9"/>
      <c r="J328" s="20"/>
      <c r="K328" s="20">
        <f>Source!U266</f>
        <v>11.629490000000001</v>
      </c>
    </row>
    <row r="329" spans="1:22" ht="15" x14ac:dyDescent="0.25">
      <c r="A329" s="25"/>
      <c r="B329" s="25"/>
      <c r="C329" s="25"/>
      <c r="D329" s="25"/>
      <c r="E329" s="25"/>
      <c r="F329" s="25"/>
      <c r="G329" s="25"/>
      <c r="H329" s="25"/>
      <c r="I329" s="45">
        <f>J321+J322+J324+J325+J326+J327</f>
        <v>29453.93</v>
      </c>
      <c r="J329" s="45"/>
      <c r="K329" s="26">
        <f>IF(Source!I266&lt;&gt;0, ROUND(I329/Source!I266, 2), 0)</f>
        <v>34368.65</v>
      </c>
      <c r="P329" s="23">
        <f>I329</f>
        <v>29453.93</v>
      </c>
    </row>
    <row r="330" spans="1:22" ht="57" x14ac:dyDescent="0.2">
      <c r="A330" s="15" t="str">
        <f>Source!E267</f>
        <v>37</v>
      </c>
      <c r="B330" s="16" t="str">
        <f>Source!F267</f>
        <v>5.3-3103-11-1/1</v>
      </c>
      <c r="C330" s="16" t="str">
        <f>Source!G267</f>
        <v>Устройство наливного полиуретанового покрытия спортивных площадок и беговых дорожек толщиной 10 мм</v>
      </c>
      <c r="D330" s="17" t="str">
        <f>Source!H267</f>
        <v>100 м2</v>
      </c>
      <c r="E330" s="9">
        <f>Source!I267</f>
        <v>0.85699999999999998</v>
      </c>
      <c r="F330" s="19"/>
      <c r="G330" s="18"/>
      <c r="H330" s="9"/>
      <c r="I330" s="9"/>
      <c r="J330" s="20"/>
      <c r="K330" s="20"/>
      <c r="Q330">
        <f>ROUND((Source!BZ267/100)*ROUND((Source!AF267*Source!AV267)*Source!I267, 2), 2)</f>
        <v>2031.99</v>
      </c>
      <c r="R330">
        <f>Source!X267</f>
        <v>2031.99</v>
      </c>
      <c r="S330">
        <f>ROUND((Source!CA267/100)*ROUND((Source!AF267*Source!AV267)*Source!I267, 2), 2)</f>
        <v>290.27999999999997</v>
      </c>
      <c r="T330">
        <f>Source!Y267</f>
        <v>290.27999999999997</v>
      </c>
      <c r="U330">
        <f>ROUND((175/100)*ROUND((Source!AE267*Source!AV267)*Source!I267, 2), 2)</f>
        <v>2260</v>
      </c>
      <c r="V330">
        <f>ROUND((108/100)*ROUND(Source!CS267*Source!I267, 2), 2)</f>
        <v>1394.74</v>
      </c>
    </row>
    <row r="331" spans="1:22" ht="14.25" x14ac:dyDescent="0.2">
      <c r="A331" s="15"/>
      <c r="B331" s="16"/>
      <c r="C331" s="16" t="s">
        <v>360</v>
      </c>
      <c r="D331" s="17"/>
      <c r="E331" s="9"/>
      <c r="F331" s="19">
        <f>Source!AO267</f>
        <v>3387.21</v>
      </c>
      <c r="G331" s="18" t="str">
        <f>Source!DG267</f>
        <v/>
      </c>
      <c r="H331" s="9">
        <f>Source!AV267</f>
        <v>1</v>
      </c>
      <c r="I331" s="9">
        <f>IF(Source!BA267&lt;&gt; 0, Source!BA267, 1)</f>
        <v>1</v>
      </c>
      <c r="J331" s="20">
        <f>Source!S267</f>
        <v>2902.84</v>
      </c>
      <c r="K331" s="20"/>
    </row>
    <row r="332" spans="1:22" ht="14.25" x14ac:dyDescent="0.2">
      <c r="A332" s="15"/>
      <c r="B332" s="16"/>
      <c r="C332" s="16" t="s">
        <v>361</v>
      </c>
      <c r="D332" s="17"/>
      <c r="E332" s="9"/>
      <c r="F332" s="19">
        <f>Source!AM267</f>
        <v>1975.28</v>
      </c>
      <c r="G332" s="18" t="str">
        <f>Source!DE267</f>
        <v/>
      </c>
      <c r="H332" s="9">
        <f>Source!AV267</f>
        <v>1</v>
      </c>
      <c r="I332" s="9">
        <f>IF(Source!BB267&lt;&gt; 0, Source!BB267, 1)</f>
        <v>1</v>
      </c>
      <c r="J332" s="20">
        <f>Source!Q267</f>
        <v>1692.81</v>
      </c>
      <c r="K332" s="20"/>
    </row>
    <row r="333" spans="1:22" ht="14.25" x14ac:dyDescent="0.2">
      <c r="A333" s="15"/>
      <c r="B333" s="16"/>
      <c r="C333" s="16" t="s">
        <v>362</v>
      </c>
      <c r="D333" s="17"/>
      <c r="E333" s="9"/>
      <c r="F333" s="19">
        <f>Source!AN267</f>
        <v>1506.92</v>
      </c>
      <c r="G333" s="18" t="str">
        <f>Source!DF267</f>
        <v/>
      </c>
      <c r="H333" s="9">
        <f>Source!AV267</f>
        <v>1</v>
      </c>
      <c r="I333" s="9">
        <f>IF(Source!BS267&lt;&gt; 0, Source!BS267, 1)</f>
        <v>1</v>
      </c>
      <c r="J333" s="22">
        <f>Source!R267</f>
        <v>1291.43</v>
      </c>
      <c r="K333" s="20"/>
    </row>
    <row r="334" spans="1:22" ht="14.25" x14ac:dyDescent="0.2">
      <c r="A334" s="15"/>
      <c r="B334" s="16"/>
      <c r="C334" s="16" t="s">
        <v>369</v>
      </c>
      <c r="D334" s="17"/>
      <c r="E334" s="9"/>
      <c r="F334" s="19">
        <f>Source!AL267</f>
        <v>76330.37</v>
      </c>
      <c r="G334" s="18" t="str">
        <f>Source!DD267</f>
        <v/>
      </c>
      <c r="H334" s="9">
        <f>Source!AW267</f>
        <v>1</v>
      </c>
      <c r="I334" s="9">
        <f>IF(Source!BC267&lt;&gt; 0, Source!BC267, 1)</f>
        <v>1</v>
      </c>
      <c r="J334" s="20">
        <f>Source!P267</f>
        <v>65415.13</v>
      </c>
      <c r="K334" s="20"/>
    </row>
    <row r="335" spans="1:22" ht="14.25" x14ac:dyDescent="0.2">
      <c r="A335" s="15"/>
      <c r="B335" s="16"/>
      <c r="C335" s="16" t="s">
        <v>363</v>
      </c>
      <c r="D335" s="17" t="s">
        <v>364</v>
      </c>
      <c r="E335" s="9">
        <f>Source!AT267</f>
        <v>70</v>
      </c>
      <c r="F335" s="19"/>
      <c r="G335" s="18"/>
      <c r="H335" s="9"/>
      <c r="I335" s="9"/>
      <c r="J335" s="20">
        <f>SUM(R330:R334)</f>
        <v>2031.99</v>
      </c>
      <c r="K335" s="20"/>
    </row>
    <row r="336" spans="1:22" ht="14.25" x14ac:dyDescent="0.2">
      <c r="A336" s="15"/>
      <c r="B336" s="16"/>
      <c r="C336" s="16" t="s">
        <v>365</v>
      </c>
      <c r="D336" s="17" t="s">
        <v>364</v>
      </c>
      <c r="E336" s="9">
        <f>Source!AU267</f>
        <v>10</v>
      </c>
      <c r="F336" s="19"/>
      <c r="G336" s="18"/>
      <c r="H336" s="9"/>
      <c r="I336" s="9"/>
      <c r="J336" s="20">
        <f>SUM(T330:T335)</f>
        <v>290.27999999999997</v>
      </c>
      <c r="K336" s="20"/>
    </row>
    <row r="337" spans="1:22" ht="14.25" x14ac:dyDescent="0.2">
      <c r="A337" s="15"/>
      <c r="B337" s="16"/>
      <c r="C337" s="16" t="s">
        <v>366</v>
      </c>
      <c r="D337" s="17" t="s">
        <v>364</v>
      </c>
      <c r="E337" s="9">
        <f>108</f>
        <v>108</v>
      </c>
      <c r="F337" s="19"/>
      <c r="G337" s="18"/>
      <c r="H337" s="9"/>
      <c r="I337" s="9"/>
      <c r="J337" s="20">
        <f>SUM(V330:V336)</f>
        <v>1394.74</v>
      </c>
      <c r="K337" s="20"/>
    </row>
    <row r="338" spans="1:22" ht="14.25" x14ac:dyDescent="0.2">
      <c r="A338" s="15"/>
      <c r="B338" s="16"/>
      <c r="C338" s="16" t="s">
        <v>367</v>
      </c>
      <c r="D338" s="17" t="s">
        <v>368</v>
      </c>
      <c r="E338" s="9">
        <f>Source!AQ267</f>
        <v>18.440000000000001</v>
      </c>
      <c r="F338" s="19"/>
      <c r="G338" s="18" t="str">
        <f>Source!DI267</f>
        <v/>
      </c>
      <c r="H338" s="9">
        <f>Source!AV267</f>
        <v>1</v>
      </c>
      <c r="I338" s="9"/>
      <c r="J338" s="20"/>
      <c r="K338" s="20">
        <f>Source!U267</f>
        <v>15.803080000000001</v>
      </c>
    </row>
    <row r="339" spans="1:22" ht="15" x14ac:dyDescent="0.25">
      <c r="A339" s="25"/>
      <c r="B339" s="25"/>
      <c r="C339" s="25"/>
      <c r="D339" s="25"/>
      <c r="E339" s="25"/>
      <c r="F339" s="25"/>
      <c r="G339" s="25"/>
      <c r="H339" s="25"/>
      <c r="I339" s="45">
        <f>J331+J332+J334+J335+J336+J337</f>
        <v>73727.790000000008</v>
      </c>
      <c r="J339" s="45"/>
      <c r="K339" s="26">
        <f>IF(Source!I267&lt;&gt;0, ROUND(I339/Source!I267, 2), 0)</f>
        <v>86030.09</v>
      </c>
      <c r="P339" s="23">
        <f>I339</f>
        <v>73727.790000000008</v>
      </c>
    </row>
    <row r="340" spans="1:22" ht="71.25" x14ac:dyDescent="0.2">
      <c r="A340" s="15" t="str">
        <f>Source!E268</f>
        <v>38</v>
      </c>
      <c r="B340" s="16" t="str">
        <f>Source!F268</f>
        <v>5.3-3103-11-2/1</v>
      </c>
      <c r="C340" s="16" t="str">
        <f>Source!G268</f>
        <v>Устройство наливного полиуретанового покрытия спортивных площадок и беговых дорожек, добавляется на 2 мм толщины покрытия</v>
      </c>
      <c r="D340" s="17" t="str">
        <f>Source!H268</f>
        <v>100 м2</v>
      </c>
      <c r="E340" s="9">
        <f>Source!I268</f>
        <v>0.85699999999999998</v>
      </c>
      <c r="F340" s="19"/>
      <c r="G340" s="18"/>
      <c r="H340" s="9"/>
      <c r="I340" s="9"/>
      <c r="J340" s="20"/>
      <c r="K340" s="20"/>
      <c r="Q340">
        <f>ROUND((Source!BZ268/100)*ROUND((Source!AF268*Source!AV268)*Source!I268, 2), 2)</f>
        <v>300.85000000000002</v>
      </c>
      <c r="R340">
        <f>Source!X268</f>
        <v>300.85000000000002</v>
      </c>
      <c r="S340">
        <f>ROUND((Source!CA268/100)*ROUND((Source!AF268*Source!AV268)*Source!I268, 2), 2)</f>
        <v>42.98</v>
      </c>
      <c r="T340">
        <f>Source!Y268</f>
        <v>42.98</v>
      </c>
      <c r="U340">
        <f>ROUND((175/100)*ROUND((Source!AE268*Source!AV268)*Source!I268, 2), 2)</f>
        <v>426.72</v>
      </c>
      <c r="V340">
        <f>ROUND((108/100)*ROUND(Source!CS268*Source!I268, 2), 2)</f>
        <v>263.35000000000002</v>
      </c>
    </row>
    <row r="341" spans="1:22" ht="14.25" x14ac:dyDescent="0.2">
      <c r="A341" s="15"/>
      <c r="B341" s="16"/>
      <c r="C341" s="16" t="s">
        <v>360</v>
      </c>
      <c r="D341" s="17"/>
      <c r="E341" s="9"/>
      <c r="F341" s="19">
        <f>Source!AO268</f>
        <v>501.49</v>
      </c>
      <c r="G341" s="18" t="str">
        <f>Source!DG268</f>
        <v/>
      </c>
      <c r="H341" s="9">
        <f>Source!AV268</f>
        <v>1</v>
      </c>
      <c r="I341" s="9">
        <f>IF(Source!BA268&lt;&gt; 0, Source!BA268, 1)</f>
        <v>1</v>
      </c>
      <c r="J341" s="20">
        <f>Source!S268</f>
        <v>429.78</v>
      </c>
      <c r="K341" s="20"/>
    </row>
    <row r="342" spans="1:22" ht="14.25" x14ac:dyDescent="0.2">
      <c r="A342" s="15"/>
      <c r="B342" s="16"/>
      <c r="C342" s="16" t="s">
        <v>361</v>
      </c>
      <c r="D342" s="17"/>
      <c r="E342" s="9"/>
      <c r="F342" s="19">
        <f>Source!AM268</f>
        <v>371.84</v>
      </c>
      <c r="G342" s="18" t="str">
        <f>Source!DE268</f>
        <v/>
      </c>
      <c r="H342" s="9">
        <f>Source!AV268</f>
        <v>1</v>
      </c>
      <c r="I342" s="9">
        <f>IF(Source!BB268&lt;&gt; 0, Source!BB268, 1)</f>
        <v>1</v>
      </c>
      <c r="J342" s="20">
        <f>Source!Q268</f>
        <v>318.67</v>
      </c>
      <c r="K342" s="20"/>
    </row>
    <row r="343" spans="1:22" ht="14.25" x14ac:dyDescent="0.2">
      <c r="A343" s="15"/>
      <c r="B343" s="16"/>
      <c r="C343" s="16" t="s">
        <v>362</v>
      </c>
      <c r="D343" s="17"/>
      <c r="E343" s="9"/>
      <c r="F343" s="19">
        <f>Source!AN268</f>
        <v>284.52999999999997</v>
      </c>
      <c r="G343" s="18" t="str">
        <f>Source!DF268</f>
        <v/>
      </c>
      <c r="H343" s="9">
        <f>Source!AV268</f>
        <v>1</v>
      </c>
      <c r="I343" s="9">
        <f>IF(Source!BS268&lt;&gt; 0, Source!BS268, 1)</f>
        <v>1</v>
      </c>
      <c r="J343" s="22">
        <f>Source!R268</f>
        <v>243.84</v>
      </c>
      <c r="K343" s="20"/>
    </row>
    <row r="344" spans="1:22" ht="14.25" x14ac:dyDescent="0.2">
      <c r="A344" s="15"/>
      <c r="B344" s="16"/>
      <c r="C344" s="16" t="s">
        <v>369</v>
      </c>
      <c r="D344" s="17"/>
      <c r="E344" s="9"/>
      <c r="F344" s="19">
        <f>Source!AL268</f>
        <v>14084.7</v>
      </c>
      <c r="G344" s="18" t="str">
        <f>Source!DD268</f>
        <v/>
      </c>
      <c r="H344" s="9">
        <f>Source!AW268</f>
        <v>1</v>
      </c>
      <c r="I344" s="9">
        <f>IF(Source!BC268&lt;&gt; 0, Source!BC268, 1)</f>
        <v>1</v>
      </c>
      <c r="J344" s="20">
        <f>Source!P268</f>
        <v>12070.59</v>
      </c>
      <c r="K344" s="20"/>
    </row>
    <row r="345" spans="1:22" ht="14.25" x14ac:dyDescent="0.2">
      <c r="A345" s="15"/>
      <c r="B345" s="16"/>
      <c r="C345" s="16" t="s">
        <v>363</v>
      </c>
      <c r="D345" s="17" t="s">
        <v>364</v>
      </c>
      <c r="E345" s="9">
        <f>Source!AT268</f>
        <v>70</v>
      </c>
      <c r="F345" s="19"/>
      <c r="G345" s="18"/>
      <c r="H345" s="9"/>
      <c r="I345" s="9"/>
      <c r="J345" s="20">
        <f>SUM(R340:R344)</f>
        <v>300.85000000000002</v>
      </c>
      <c r="K345" s="20"/>
    </row>
    <row r="346" spans="1:22" ht="14.25" x14ac:dyDescent="0.2">
      <c r="A346" s="15"/>
      <c r="B346" s="16"/>
      <c r="C346" s="16" t="s">
        <v>365</v>
      </c>
      <c r="D346" s="17" t="s">
        <v>364</v>
      </c>
      <c r="E346" s="9">
        <f>Source!AU268</f>
        <v>10</v>
      </c>
      <c r="F346" s="19"/>
      <c r="G346" s="18"/>
      <c r="H346" s="9"/>
      <c r="I346" s="9"/>
      <c r="J346" s="20">
        <f>SUM(T340:T345)</f>
        <v>42.98</v>
      </c>
      <c r="K346" s="20"/>
    </row>
    <row r="347" spans="1:22" ht="14.25" x14ac:dyDescent="0.2">
      <c r="A347" s="15"/>
      <c r="B347" s="16"/>
      <c r="C347" s="16" t="s">
        <v>366</v>
      </c>
      <c r="D347" s="17" t="s">
        <v>364</v>
      </c>
      <c r="E347" s="9">
        <f>108</f>
        <v>108</v>
      </c>
      <c r="F347" s="19"/>
      <c r="G347" s="18"/>
      <c r="H347" s="9"/>
      <c r="I347" s="9"/>
      <c r="J347" s="20">
        <f>SUM(V340:V346)</f>
        <v>263.35000000000002</v>
      </c>
      <c r="K347" s="20"/>
    </row>
    <row r="348" spans="1:22" ht="14.25" x14ac:dyDescent="0.2">
      <c r="A348" s="15"/>
      <c r="B348" s="16"/>
      <c r="C348" s="16" t="s">
        <v>367</v>
      </c>
      <c r="D348" s="17" t="s">
        <v>368</v>
      </c>
      <c r="E348" s="9">
        <f>Source!AQ268</f>
        <v>2.65</v>
      </c>
      <c r="F348" s="19"/>
      <c r="G348" s="18" t="str">
        <f>Source!DI268</f>
        <v/>
      </c>
      <c r="H348" s="9">
        <f>Source!AV268</f>
        <v>1</v>
      </c>
      <c r="I348" s="9"/>
      <c r="J348" s="20"/>
      <c r="K348" s="20">
        <f>Source!U268</f>
        <v>2.2710499999999998</v>
      </c>
    </row>
    <row r="349" spans="1:22" ht="15" x14ac:dyDescent="0.25">
      <c r="A349" s="25"/>
      <c r="B349" s="25"/>
      <c r="C349" s="25"/>
      <c r="D349" s="25"/>
      <c r="E349" s="25"/>
      <c r="F349" s="25"/>
      <c r="G349" s="25"/>
      <c r="H349" s="25"/>
      <c r="I349" s="45">
        <f>J341+J342+J344+J345+J346+J347</f>
        <v>13426.220000000001</v>
      </c>
      <c r="J349" s="45"/>
      <c r="K349" s="26">
        <f>IF(Source!I268&lt;&gt;0, ROUND(I349/Source!I268, 2), 0)</f>
        <v>15666.53</v>
      </c>
      <c r="P349" s="23">
        <f>I349</f>
        <v>13426.220000000001</v>
      </c>
    </row>
    <row r="350" spans="1:22" ht="42.75" x14ac:dyDescent="0.2">
      <c r="A350" s="15" t="str">
        <f>Source!E269</f>
        <v>39</v>
      </c>
      <c r="B350" s="16" t="str">
        <f>Source!F269</f>
        <v>2.1-3203-10-1/1</v>
      </c>
      <c r="C350" s="16" t="str">
        <f>Source!G269</f>
        <v>Нанесение линии дорожной разметки краской, линия продольная, сплошная, краска белая</v>
      </c>
      <c r="D350" s="17" t="str">
        <f>Source!H269</f>
        <v>м2</v>
      </c>
      <c r="E350" s="9">
        <f>Source!I269</f>
        <v>20</v>
      </c>
      <c r="F350" s="19"/>
      <c r="G350" s="18"/>
      <c r="H350" s="9"/>
      <c r="I350" s="9"/>
      <c r="J350" s="20"/>
      <c r="K350" s="20"/>
      <c r="Q350">
        <f>ROUND((Source!BZ269/100)*ROUND((Source!AF269*Source!AV269)*Source!I269, 2), 2)</f>
        <v>166.4</v>
      </c>
      <c r="R350">
        <f>Source!X269</f>
        <v>166.4</v>
      </c>
      <c r="S350">
        <f>ROUND((Source!CA269/100)*ROUND((Source!AF269*Source!AV269)*Source!I269, 2), 2)</f>
        <v>20.8</v>
      </c>
      <c r="T350">
        <f>Source!Y269</f>
        <v>20.8</v>
      </c>
      <c r="U350">
        <f>ROUND((175/100)*ROUND((Source!AE269*Source!AV269)*Source!I269, 2), 2)</f>
        <v>109.55</v>
      </c>
      <c r="V350">
        <f>ROUND((108/100)*ROUND(Source!CS269*Source!I269, 2), 2)</f>
        <v>67.61</v>
      </c>
    </row>
    <row r="351" spans="1:22" ht="14.25" x14ac:dyDescent="0.2">
      <c r="A351" s="15"/>
      <c r="B351" s="16"/>
      <c r="C351" s="16" t="s">
        <v>360</v>
      </c>
      <c r="D351" s="17"/>
      <c r="E351" s="9"/>
      <c r="F351" s="19">
        <f>Source!AO269</f>
        <v>10.4</v>
      </c>
      <c r="G351" s="18" t="str">
        <f>Source!DG269</f>
        <v/>
      </c>
      <c r="H351" s="9">
        <f>Source!AV269</f>
        <v>1</v>
      </c>
      <c r="I351" s="9">
        <f>IF(Source!BA269&lt;&gt; 0, Source!BA269, 1)</f>
        <v>1</v>
      </c>
      <c r="J351" s="20">
        <f>Source!S269</f>
        <v>208</v>
      </c>
      <c r="K351" s="20"/>
    </row>
    <row r="352" spans="1:22" ht="14.25" x14ac:dyDescent="0.2">
      <c r="A352" s="15"/>
      <c r="B352" s="16"/>
      <c r="C352" s="16" t="s">
        <v>361</v>
      </c>
      <c r="D352" s="17"/>
      <c r="E352" s="9"/>
      <c r="F352" s="19">
        <f>Source!AM269</f>
        <v>17.57</v>
      </c>
      <c r="G352" s="18" t="str">
        <f>Source!DE269</f>
        <v/>
      </c>
      <c r="H352" s="9">
        <f>Source!AV269</f>
        <v>1</v>
      </c>
      <c r="I352" s="9">
        <f>IF(Source!BB269&lt;&gt; 0, Source!BB269, 1)</f>
        <v>1</v>
      </c>
      <c r="J352" s="20">
        <f>Source!Q269</f>
        <v>351.4</v>
      </c>
      <c r="K352" s="20"/>
    </row>
    <row r="353" spans="1:22" ht="14.25" x14ac:dyDescent="0.2">
      <c r="A353" s="15"/>
      <c r="B353" s="16"/>
      <c r="C353" s="16" t="s">
        <v>362</v>
      </c>
      <c r="D353" s="17"/>
      <c r="E353" s="9"/>
      <c r="F353" s="19">
        <f>Source!AN269</f>
        <v>3.13</v>
      </c>
      <c r="G353" s="18" t="str">
        <f>Source!DF269</f>
        <v/>
      </c>
      <c r="H353" s="9">
        <f>Source!AV269</f>
        <v>1</v>
      </c>
      <c r="I353" s="9">
        <f>IF(Source!BS269&lt;&gt; 0, Source!BS269, 1)</f>
        <v>1</v>
      </c>
      <c r="J353" s="22">
        <f>Source!R269</f>
        <v>62.6</v>
      </c>
      <c r="K353" s="20"/>
    </row>
    <row r="354" spans="1:22" ht="14.25" x14ac:dyDescent="0.2">
      <c r="A354" s="15"/>
      <c r="B354" s="16"/>
      <c r="C354" s="16" t="s">
        <v>369</v>
      </c>
      <c r="D354" s="17"/>
      <c r="E354" s="9"/>
      <c r="F354" s="19">
        <f>Source!AL269</f>
        <v>44.59</v>
      </c>
      <c r="G354" s="18" t="str">
        <f>Source!DD269</f>
        <v/>
      </c>
      <c r="H354" s="9">
        <f>Source!AW269</f>
        <v>1</v>
      </c>
      <c r="I354" s="9">
        <f>IF(Source!BC269&lt;&gt; 0, Source!BC269, 1)</f>
        <v>1</v>
      </c>
      <c r="J354" s="20">
        <f>Source!P269</f>
        <v>891.8</v>
      </c>
      <c r="K354" s="20"/>
    </row>
    <row r="355" spans="1:22" ht="14.25" x14ac:dyDescent="0.2">
      <c r="A355" s="15"/>
      <c r="B355" s="16"/>
      <c r="C355" s="16" t="s">
        <v>363</v>
      </c>
      <c r="D355" s="17" t="s">
        <v>364</v>
      </c>
      <c r="E355" s="9">
        <f>Source!AT269</f>
        <v>80</v>
      </c>
      <c r="F355" s="19"/>
      <c r="G355" s="18"/>
      <c r="H355" s="9"/>
      <c r="I355" s="9"/>
      <c r="J355" s="20">
        <f>SUM(R350:R354)</f>
        <v>166.4</v>
      </c>
      <c r="K355" s="20"/>
    </row>
    <row r="356" spans="1:22" ht="14.25" x14ac:dyDescent="0.2">
      <c r="A356" s="15"/>
      <c r="B356" s="16"/>
      <c r="C356" s="16" t="s">
        <v>365</v>
      </c>
      <c r="D356" s="17" t="s">
        <v>364</v>
      </c>
      <c r="E356" s="9">
        <f>Source!AU269</f>
        <v>10</v>
      </c>
      <c r="F356" s="19"/>
      <c r="G356" s="18"/>
      <c r="H356" s="9"/>
      <c r="I356" s="9"/>
      <c r="J356" s="20">
        <f>SUM(T350:T355)</f>
        <v>20.8</v>
      </c>
      <c r="K356" s="20"/>
    </row>
    <row r="357" spans="1:22" ht="14.25" x14ac:dyDescent="0.2">
      <c r="A357" s="15"/>
      <c r="B357" s="16"/>
      <c r="C357" s="16" t="s">
        <v>366</v>
      </c>
      <c r="D357" s="17" t="s">
        <v>364</v>
      </c>
      <c r="E357" s="9">
        <f>108</f>
        <v>108</v>
      </c>
      <c r="F357" s="19"/>
      <c r="G357" s="18"/>
      <c r="H357" s="9"/>
      <c r="I357" s="9"/>
      <c r="J357" s="20">
        <f>SUM(V350:V356)</f>
        <v>67.61</v>
      </c>
      <c r="K357" s="20"/>
    </row>
    <row r="358" spans="1:22" ht="14.25" x14ac:dyDescent="0.2">
      <c r="A358" s="15"/>
      <c r="B358" s="16"/>
      <c r="C358" s="16" t="s">
        <v>367</v>
      </c>
      <c r="D358" s="17" t="s">
        <v>368</v>
      </c>
      <c r="E358" s="9">
        <f>Source!AQ269</f>
        <v>0.06</v>
      </c>
      <c r="F358" s="19"/>
      <c r="G358" s="18" t="str">
        <f>Source!DI269</f>
        <v/>
      </c>
      <c r="H358" s="9">
        <f>Source!AV269</f>
        <v>1</v>
      </c>
      <c r="I358" s="9"/>
      <c r="J358" s="20"/>
      <c r="K358" s="20">
        <f>Source!U269</f>
        <v>1.2</v>
      </c>
    </row>
    <row r="359" spans="1:22" ht="15" x14ac:dyDescent="0.25">
      <c r="A359" s="25"/>
      <c r="B359" s="25"/>
      <c r="C359" s="25"/>
      <c r="D359" s="25"/>
      <c r="E359" s="25"/>
      <c r="F359" s="25"/>
      <c r="G359" s="25"/>
      <c r="H359" s="25"/>
      <c r="I359" s="45">
        <f>J351+J352+J354+J355+J356+J357</f>
        <v>1706.0099999999998</v>
      </c>
      <c r="J359" s="45"/>
      <c r="K359" s="26">
        <f>IF(Source!I269&lt;&gt;0, ROUND(I359/Source!I269, 2), 0)</f>
        <v>85.3</v>
      </c>
      <c r="P359" s="23">
        <f>I359</f>
        <v>1706.0099999999998</v>
      </c>
    </row>
    <row r="361" spans="1:22" ht="15" x14ac:dyDescent="0.25">
      <c r="A361" s="48" t="str">
        <f>CONCATENATE("Итого по разделу: ",IF(Source!G271&lt;&gt;"Новый раздел", Source!G271, ""))</f>
        <v>Итого по разделу: Устройство площадки ПДД - 85,7м2</v>
      </c>
      <c r="B361" s="48"/>
      <c r="C361" s="48"/>
      <c r="D361" s="48"/>
      <c r="E361" s="48"/>
      <c r="F361" s="48"/>
      <c r="G361" s="48"/>
      <c r="H361" s="48"/>
      <c r="I361" s="46">
        <f>SUM(P278:P360)</f>
        <v>169866.97000000003</v>
      </c>
      <c r="J361" s="47"/>
      <c r="K361" s="27"/>
    </row>
    <row r="364" spans="1:22" ht="16.5" x14ac:dyDescent="0.25">
      <c r="A364" s="49" t="str">
        <f>CONCATENATE("Раздел: ",IF(Source!G300&lt;&gt;"Новый раздел", Source!G300, ""))</f>
        <v>Раздел: Устройство резинового покрытия на детских площадках - 1099м2</v>
      </c>
      <c r="B364" s="49"/>
      <c r="C364" s="49"/>
      <c r="D364" s="49"/>
      <c r="E364" s="49"/>
      <c r="F364" s="49"/>
      <c r="G364" s="49"/>
      <c r="H364" s="49"/>
      <c r="I364" s="49"/>
      <c r="J364" s="49"/>
      <c r="K364" s="49"/>
    </row>
    <row r="365" spans="1:22" ht="57" x14ac:dyDescent="0.2">
      <c r="A365" s="15" t="str">
        <f>Source!E304</f>
        <v>40</v>
      </c>
      <c r="B365" s="16" t="str">
        <f>Source!F304</f>
        <v>2.49-3101-3-1/1</v>
      </c>
      <c r="C365" s="16" t="str">
        <f>Source!G304</f>
        <v>Разработка грунта с погрузкой на автомобили-самосвалы экскаваторами с ковшом вместимостью 0,8 м3, группа грунтов 1-3</v>
      </c>
      <c r="D365" s="17" t="str">
        <f>Source!H304</f>
        <v>100 м3</v>
      </c>
      <c r="E365" s="9">
        <f>Source!I304</f>
        <v>3.9563999999999999</v>
      </c>
      <c r="F365" s="19"/>
      <c r="G365" s="18"/>
      <c r="H365" s="9"/>
      <c r="I365" s="9"/>
      <c r="J365" s="20"/>
      <c r="K365" s="20"/>
      <c r="Q365">
        <f>ROUND((Source!BZ304/100)*ROUND((Source!AF304*Source!AV304)*Source!I304, 2), 2)</f>
        <v>433.73</v>
      </c>
      <c r="R365">
        <f>Source!X304</f>
        <v>433.73</v>
      </c>
      <c r="S365">
        <f>ROUND((Source!CA304/100)*ROUND((Source!AF304*Source!AV304)*Source!I304, 2), 2)</f>
        <v>61.96</v>
      </c>
      <c r="T365">
        <f>Source!Y304</f>
        <v>61.96</v>
      </c>
      <c r="U365">
        <f>ROUND((175/100)*ROUND((Source!AE304*Source!AV304)*Source!I304, 2), 2)</f>
        <v>13933.12</v>
      </c>
      <c r="V365">
        <f>ROUND((108/100)*ROUND(Source!CS304*Source!I304, 2), 2)</f>
        <v>8598.7199999999993</v>
      </c>
    </row>
    <row r="366" spans="1:22" x14ac:dyDescent="0.2">
      <c r="C366" s="21" t="str">
        <f>"Объем: "&amp;Source!I304&amp;"=1099*"&amp;"0,36/"&amp;"100"</f>
        <v>Объем: 3,9564=1099*0,36/100</v>
      </c>
    </row>
    <row r="367" spans="1:22" ht="14.25" x14ac:dyDescent="0.2">
      <c r="A367" s="15"/>
      <c r="B367" s="16"/>
      <c r="C367" s="16" t="s">
        <v>360</v>
      </c>
      <c r="D367" s="17"/>
      <c r="E367" s="9"/>
      <c r="F367" s="19">
        <f>Source!AO304</f>
        <v>156.61000000000001</v>
      </c>
      <c r="G367" s="18" t="str">
        <f>Source!DG304</f>
        <v/>
      </c>
      <c r="H367" s="9">
        <f>Source!AV304</f>
        <v>1</v>
      </c>
      <c r="I367" s="9">
        <f>IF(Source!BA304&lt;&gt; 0, Source!BA304, 1)</f>
        <v>1</v>
      </c>
      <c r="J367" s="20">
        <f>Source!S304</f>
        <v>619.61</v>
      </c>
      <c r="K367" s="20"/>
    </row>
    <row r="368" spans="1:22" ht="14.25" x14ac:dyDescent="0.2">
      <c r="A368" s="15"/>
      <c r="B368" s="16"/>
      <c r="C368" s="16" t="s">
        <v>361</v>
      </c>
      <c r="D368" s="17"/>
      <c r="E368" s="9"/>
      <c r="F368" s="19">
        <f>Source!AM304</f>
        <v>4943.3</v>
      </c>
      <c r="G368" s="18" t="str">
        <f>Source!DE304</f>
        <v/>
      </c>
      <c r="H368" s="9">
        <f>Source!AV304</f>
        <v>1</v>
      </c>
      <c r="I368" s="9">
        <f>IF(Source!BB304&lt;&gt; 0, Source!BB304, 1)</f>
        <v>1</v>
      </c>
      <c r="J368" s="20">
        <f>Source!Q304</f>
        <v>19557.669999999998</v>
      </c>
      <c r="K368" s="20"/>
    </row>
    <row r="369" spans="1:22" ht="14.25" x14ac:dyDescent="0.2">
      <c r="A369" s="15"/>
      <c r="B369" s="16"/>
      <c r="C369" s="16" t="s">
        <v>362</v>
      </c>
      <c r="D369" s="17"/>
      <c r="E369" s="9"/>
      <c r="F369" s="19">
        <f>Source!AN304</f>
        <v>2012.38</v>
      </c>
      <c r="G369" s="18" t="str">
        <f>Source!DF304</f>
        <v/>
      </c>
      <c r="H369" s="9">
        <f>Source!AV304</f>
        <v>1</v>
      </c>
      <c r="I369" s="9">
        <f>IF(Source!BS304&lt;&gt; 0, Source!BS304, 1)</f>
        <v>1</v>
      </c>
      <c r="J369" s="22">
        <f>Source!R304</f>
        <v>7961.78</v>
      </c>
      <c r="K369" s="20"/>
    </row>
    <row r="370" spans="1:22" ht="14.25" x14ac:dyDescent="0.2">
      <c r="A370" s="15"/>
      <c r="B370" s="16"/>
      <c r="C370" s="16" t="s">
        <v>363</v>
      </c>
      <c r="D370" s="17" t="s">
        <v>364</v>
      </c>
      <c r="E370" s="9">
        <f>Source!AT304</f>
        <v>70</v>
      </c>
      <c r="F370" s="19"/>
      <c r="G370" s="18"/>
      <c r="H370" s="9"/>
      <c r="I370" s="9"/>
      <c r="J370" s="20">
        <f>SUM(R365:R369)</f>
        <v>433.73</v>
      </c>
      <c r="K370" s="20"/>
    </row>
    <row r="371" spans="1:22" ht="14.25" x14ac:dyDescent="0.2">
      <c r="A371" s="15"/>
      <c r="B371" s="16"/>
      <c r="C371" s="16" t="s">
        <v>365</v>
      </c>
      <c r="D371" s="17" t="s">
        <v>364</v>
      </c>
      <c r="E371" s="9">
        <f>Source!AU304</f>
        <v>10</v>
      </c>
      <c r="F371" s="19"/>
      <c r="G371" s="18"/>
      <c r="H371" s="9"/>
      <c r="I371" s="9"/>
      <c r="J371" s="20">
        <f>SUM(T365:T370)</f>
        <v>61.96</v>
      </c>
      <c r="K371" s="20"/>
    </row>
    <row r="372" spans="1:22" ht="14.25" x14ac:dyDescent="0.2">
      <c r="A372" s="15"/>
      <c r="B372" s="16"/>
      <c r="C372" s="16" t="s">
        <v>366</v>
      </c>
      <c r="D372" s="17" t="s">
        <v>364</v>
      </c>
      <c r="E372" s="9">
        <f>108</f>
        <v>108</v>
      </c>
      <c r="F372" s="19"/>
      <c r="G372" s="18"/>
      <c r="H372" s="9"/>
      <c r="I372" s="9"/>
      <c r="J372" s="20">
        <f>SUM(V365:V371)</f>
        <v>8598.7199999999993</v>
      </c>
      <c r="K372" s="20"/>
    </row>
    <row r="373" spans="1:22" ht="14.25" x14ac:dyDescent="0.2">
      <c r="A373" s="15"/>
      <c r="B373" s="16"/>
      <c r="C373" s="16" t="s">
        <v>367</v>
      </c>
      <c r="D373" s="17" t="s">
        <v>368</v>
      </c>
      <c r="E373" s="9">
        <f>Source!AQ304</f>
        <v>1.05</v>
      </c>
      <c r="F373" s="19"/>
      <c r="G373" s="18" t="str">
        <f>Source!DI304</f>
        <v/>
      </c>
      <c r="H373" s="9">
        <f>Source!AV304</f>
        <v>1</v>
      </c>
      <c r="I373" s="9"/>
      <c r="J373" s="20"/>
      <c r="K373" s="20">
        <f>Source!U304</f>
        <v>4.1542200000000005</v>
      </c>
    </row>
    <row r="374" spans="1:22" ht="15" x14ac:dyDescent="0.25">
      <c r="A374" s="25"/>
      <c r="B374" s="25"/>
      <c r="C374" s="25"/>
      <c r="D374" s="25"/>
      <c r="E374" s="25"/>
      <c r="F374" s="25"/>
      <c r="G374" s="25"/>
      <c r="H374" s="25"/>
      <c r="I374" s="45">
        <f>J367+J368+J370+J371+J372</f>
        <v>29271.689999999995</v>
      </c>
      <c r="J374" s="45"/>
      <c r="K374" s="26">
        <f>IF(Source!I304&lt;&gt;0, ROUND(I374/Source!I304, 2), 0)</f>
        <v>7398.57</v>
      </c>
      <c r="P374" s="23">
        <f>I374</f>
        <v>29271.689999999995</v>
      </c>
    </row>
    <row r="375" spans="1:22" ht="42.75" x14ac:dyDescent="0.2">
      <c r="A375" s="15" t="str">
        <f>Source!E305</f>
        <v>41</v>
      </c>
      <c r="B375" s="16" t="str">
        <f>Source!F305</f>
        <v>2.49-3401-1-1/1</v>
      </c>
      <c r="C375" s="16" t="str">
        <f>Source!G305</f>
        <v>Перевозка грунта автосамосвалами грузоподъемностью до 10 т на расстояние 1 км</v>
      </c>
      <c r="D375" s="17" t="str">
        <f>Source!H305</f>
        <v>м3</v>
      </c>
      <c r="E375" s="9">
        <f>Source!I305</f>
        <v>125.587</v>
      </c>
      <c r="F375" s="19"/>
      <c r="G375" s="18"/>
      <c r="H375" s="9"/>
      <c r="I375" s="9"/>
      <c r="J375" s="20"/>
      <c r="K375" s="20"/>
      <c r="Q375">
        <f>ROUND((Source!BZ305/100)*ROUND((Source!AF305*Source!AV305)*Source!I305, 2), 2)</f>
        <v>0</v>
      </c>
      <c r="R375">
        <f>Source!X305</f>
        <v>0</v>
      </c>
      <c r="S375">
        <f>ROUND((Source!CA305/100)*ROUND((Source!AF305*Source!AV305)*Source!I305, 2), 2)</f>
        <v>0</v>
      </c>
      <c r="T375">
        <f>Source!Y305</f>
        <v>0</v>
      </c>
      <c r="U375">
        <f>ROUND((175/100)*ROUND((Source!AE305*Source!AV305)*Source!I305, 2), 2)</f>
        <v>9191.09</v>
      </c>
      <c r="V375">
        <f>ROUND((108/100)*ROUND(Source!CS305*Source!I305, 2), 2)</f>
        <v>5672.21</v>
      </c>
    </row>
    <row r="376" spans="1:22" ht="14.25" x14ac:dyDescent="0.2">
      <c r="A376" s="15"/>
      <c r="B376" s="16"/>
      <c r="C376" s="16" t="s">
        <v>361</v>
      </c>
      <c r="D376" s="17"/>
      <c r="E376" s="9"/>
      <c r="F376" s="19">
        <f>Source!AM305</f>
        <v>56.28</v>
      </c>
      <c r="G376" s="18" t="str">
        <f>Source!DE305</f>
        <v/>
      </c>
      <c r="H376" s="9">
        <f>Source!AV305</f>
        <v>1</v>
      </c>
      <c r="I376" s="9">
        <f>IF(Source!BB305&lt;&gt; 0, Source!BB305, 1)</f>
        <v>1</v>
      </c>
      <c r="J376" s="20">
        <f>Source!Q305</f>
        <v>7068.04</v>
      </c>
      <c r="K376" s="20"/>
    </row>
    <row r="377" spans="1:22" ht="14.25" x14ac:dyDescent="0.2">
      <c r="A377" s="15"/>
      <c r="B377" s="16"/>
      <c r="C377" s="16" t="s">
        <v>362</v>
      </c>
      <c r="D377" s="17"/>
      <c r="E377" s="9"/>
      <c r="F377" s="19">
        <f>Source!AN305</f>
        <v>41.82</v>
      </c>
      <c r="G377" s="18" t="str">
        <f>Source!DF305</f>
        <v/>
      </c>
      <c r="H377" s="9">
        <f>Source!AV305</f>
        <v>1</v>
      </c>
      <c r="I377" s="9">
        <f>IF(Source!BS305&lt;&gt; 0, Source!BS305, 1)</f>
        <v>1</v>
      </c>
      <c r="J377" s="22">
        <f>Source!R305</f>
        <v>5252.05</v>
      </c>
      <c r="K377" s="20"/>
    </row>
    <row r="378" spans="1:22" ht="15" x14ac:dyDescent="0.25">
      <c r="A378" s="25"/>
      <c r="B378" s="25"/>
      <c r="C378" s="25"/>
      <c r="D378" s="25"/>
      <c r="E378" s="25"/>
      <c r="F378" s="25"/>
      <c r="G378" s="25"/>
      <c r="H378" s="25"/>
      <c r="I378" s="45">
        <f>J376</f>
        <v>7068.04</v>
      </c>
      <c r="J378" s="45"/>
      <c r="K378" s="26">
        <f>IF(Source!I305&lt;&gt;0, ROUND(I378/Source!I305, 2), 0)</f>
        <v>56.28</v>
      </c>
      <c r="P378" s="23">
        <f>I378</f>
        <v>7068.04</v>
      </c>
    </row>
    <row r="379" spans="1:22" ht="57" x14ac:dyDescent="0.2">
      <c r="A379" s="15" t="str">
        <f>Source!E306</f>
        <v>42</v>
      </c>
      <c r="B379" s="16" t="str">
        <f>Source!F306</f>
        <v>2.49-3401-1-2/1</v>
      </c>
      <c r="C379" s="16" t="str">
        <f>Source!G306</f>
        <v>Перевозка грунта автосамосвалами грузоподъемностью до 10 т - добавляется на каждый последующий 1 км до 100 км (к поз. 49-3401-1-1)</v>
      </c>
      <c r="D379" s="17" t="str">
        <f>Source!H306</f>
        <v>м3</v>
      </c>
      <c r="E379" s="9">
        <f>Source!I306</f>
        <v>125.587</v>
      </c>
      <c r="F379" s="19"/>
      <c r="G379" s="18"/>
      <c r="H379" s="9"/>
      <c r="I379" s="9"/>
      <c r="J379" s="20"/>
      <c r="K379" s="20"/>
      <c r="Q379">
        <f>ROUND((Source!BZ306/100)*ROUND((Source!AF306*Source!AV306)*Source!I306, 2), 2)</f>
        <v>0</v>
      </c>
      <c r="R379">
        <f>Source!X306</f>
        <v>0</v>
      </c>
      <c r="S379">
        <f>ROUND((Source!CA306/100)*ROUND((Source!AF306*Source!AV306)*Source!I306, 2), 2)</f>
        <v>0</v>
      </c>
      <c r="T379">
        <f>Source!Y306</f>
        <v>0</v>
      </c>
      <c r="U379">
        <f>ROUND((175/100)*ROUND((Source!AE306*Source!AV306)*Source!I306, 2), 2)</f>
        <v>77084.67</v>
      </c>
      <c r="V379">
        <f>ROUND((108/100)*ROUND(Source!CS306*Source!I306, 2), 2)</f>
        <v>47572.25</v>
      </c>
    </row>
    <row r="380" spans="1:22" ht="14.25" x14ac:dyDescent="0.2">
      <c r="A380" s="15"/>
      <c r="B380" s="16"/>
      <c r="C380" s="16" t="s">
        <v>361</v>
      </c>
      <c r="D380" s="17"/>
      <c r="E380" s="9"/>
      <c r="F380" s="19">
        <f>Source!AM306</f>
        <v>18.16</v>
      </c>
      <c r="G380" s="18" t="str">
        <f>Source!DE306</f>
        <v>*26</v>
      </c>
      <c r="H380" s="9">
        <f>Source!AV306</f>
        <v>1</v>
      </c>
      <c r="I380" s="9">
        <f>IF(Source!BB306&lt;&gt; 0, Source!BB306, 1)</f>
        <v>1</v>
      </c>
      <c r="J380" s="20">
        <f>Source!Q306</f>
        <v>59297.16</v>
      </c>
      <c r="K380" s="20"/>
    </row>
    <row r="381" spans="1:22" ht="14.25" x14ac:dyDescent="0.2">
      <c r="A381" s="15"/>
      <c r="B381" s="16"/>
      <c r="C381" s="16" t="s">
        <v>362</v>
      </c>
      <c r="D381" s="17"/>
      <c r="E381" s="9"/>
      <c r="F381" s="19">
        <f>Source!AN306</f>
        <v>13.49</v>
      </c>
      <c r="G381" s="18" t="str">
        <f>Source!DF306</f>
        <v>*26</v>
      </c>
      <c r="H381" s="9">
        <f>Source!AV306</f>
        <v>1</v>
      </c>
      <c r="I381" s="9">
        <f>IF(Source!BS306&lt;&gt; 0, Source!BS306, 1)</f>
        <v>1</v>
      </c>
      <c r="J381" s="22">
        <f>Source!R306</f>
        <v>44048.38</v>
      </c>
      <c r="K381" s="20"/>
    </row>
    <row r="382" spans="1:22" ht="15" x14ac:dyDescent="0.25">
      <c r="A382" s="25"/>
      <c r="B382" s="25"/>
      <c r="C382" s="25"/>
      <c r="D382" s="25"/>
      <c r="E382" s="25"/>
      <c r="F382" s="25"/>
      <c r="G382" s="25"/>
      <c r="H382" s="25"/>
      <c r="I382" s="45">
        <f>J380</f>
        <v>59297.16</v>
      </c>
      <c r="J382" s="45"/>
      <c r="K382" s="26">
        <f>IF(Source!I306&lt;&gt;0, ROUND(I382/Source!I306, 2), 0)</f>
        <v>472.16</v>
      </c>
      <c r="P382" s="23">
        <f>I382</f>
        <v>59297.16</v>
      </c>
    </row>
    <row r="383" spans="1:22" ht="42.75" x14ac:dyDescent="0.2">
      <c r="A383" s="15" t="str">
        <f>Source!E307</f>
        <v>43</v>
      </c>
      <c r="B383" s="16" t="str">
        <f>Source!F307</f>
        <v>2.1-3303-1-1/1</v>
      </c>
      <c r="C383" s="16" t="str">
        <f>Source!G307</f>
        <v>Устройство подстилающих и выравнивающих слоев оснований из песка</v>
      </c>
      <c r="D383" s="17" t="str">
        <f>Source!H307</f>
        <v>100 м3</v>
      </c>
      <c r="E383" s="9">
        <f>Source!I307</f>
        <v>1.099</v>
      </c>
      <c r="F383" s="19"/>
      <c r="G383" s="18"/>
      <c r="H383" s="9"/>
      <c r="I383" s="9"/>
      <c r="J383" s="20"/>
      <c r="K383" s="20"/>
      <c r="Q383">
        <f>ROUND((Source!BZ307/100)*ROUND((Source!AF307*Source!AV307)*Source!I307, 2), 2)</f>
        <v>1967.63</v>
      </c>
      <c r="R383">
        <f>Source!X307</f>
        <v>1967.63</v>
      </c>
      <c r="S383">
        <f>ROUND((Source!CA307/100)*ROUND((Source!AF307*Source!AV307)*Source!I307, 2), 2)</f>
        <v>281.08999999999997</v>
      </c>
      <c r="T383">
        <f>Source!Y307</f>
        <v>281.08999999999997</v>
      </c>
      <c r="U383">
        <f>ROUND((175/100)*ROUND((Source!AE307*Source!AV307)*Source!I307, 2), 2)</f>
        <v>5134.38</v>
      </c>
      <c r="V383">
        <f>ROUND((108/100)*ROUND(Source!CS307*Source!I307, 2), 2)</f>
        <v>3168.64</v>
      </c>
    </row>
    <row r="384" spans="1:22" x14ac:dyDescent="0.2">
      <c r="C384" s="21" t="str">
        <f>"Объем: "&amp;Source!I307&amp;"=1099*"&amp;"0,1/"&amp;"100"</f>
        <v>Объем: 1,099=1099*0,1/100</v>
      </c>
    </row>
    <row r="385" spans="1:22" ht="14.25" x14ac:dyDescent="0.2">
      <c r="A385" s="15"/>
      <c r="B385" s="16"/>
      <c r="C385" s="16" t="s">
        <v>360</v>
      </c>
      <c r="D385" s="17"/>
      <c r="E385" s="9"/>
      <c r="F385" s="19">
        <f>Source!AO307</f>
        <v>2557.69</v>
      </c>
      <c r="G385" s="18" t="str">
        <f>Source!DG307</f>
        <v/>
      </c>
      <c r="H385" s="9">
        <f>Source!AV307</f>
        <v>1</v>
      </c>
      <c r="I385" s="9">
        <f>IF(Source!BA307&lt;&gt; 0, Source!BA307, 1)</f>
        <v>1</v>
      </c>
      <c r="J385" s="20">
        <f>Source!S307</f>
        <v>2810.9</v>
      </c>
      <c r="K385" s="20"/>
    </row>
    <row r="386" spans="1:22" ht="14.25" x14ac:dyDescent="0.2">
      <c r="A386" s="15"/>
      <c r="B386" s="16"/>
      <c r="C386" s="16" t="s">
        <v>361</v>
      </c>
      <c r="D386" s="17"/>
      <c r="E386" s="9"/>
      <c r="F386" s="19">
        <f>Source!AM307</f>
        <v>7173.55</v>
      </c>
      <c r="G386" s="18" t="str">
        <f>Source!DE307</f>
        <v/>
      </c>
      <c r="H386" s="9">
        <f>Source!AV307</f>
        <v>1</v>
      </c>
      <c r="I386" s="9">
        <f>IF(Source!BB307&lt;&gt; 0, Source!BB307, 1)</f>
        <v>1</v>
      </c>
      <c r="J386" s="20">
        <f>Source!Q307</f>
        <v>7883.73</v>
      </c>
      <c r="K386" s="20"/>
    </row>
    <row r="387" spans="1:22" ht="14.25" x14ac:dyDescent="0.2">
      <c r="A387" s="15"/>
      <c r="B387" s="16"/>
      <c r="C387" s="16" t="s">
        <v>362</v>
      </c>
      <c r="D387" s="17"/>
      <c r="E387" s="9"/>
      <c r="F387" s="19">
        <f>Source!AN307</f>
        <v>2669.64</v>
      </c>
      <c r="G387" s="18" t="str">
        <f>Source!DF307</f>
        <v/>
      </c>
      <c r="H387" s="9">
        <f>Source!AV307</f>
        <v>1</v>
      </c>
      <c r="I387" s="9">
        <f>IF(Source!BS307&lt;&gt; 0, Source!BS307, 1)</f>
        <v>1</v>
      </c>
      <c r="J387" s="22">
        <f>Source!R307</f>
        <v>2933.93</v>
      </c>
      <c r="K387" s="20"/>
    </row>
    <row r="388" spans="1:22" ht="14.25" x14ac:dyDescent="0.2">
      <c r="A388" s="15"/>
      <c r="B388" s="16"/>
      <c r="C388" s="16" t="s">
        <v>369</v>
      </c>
      <c r="D388" s="17"/>
      <c r="E388" s="9"/>
      <c r="F388" s="19">
        <f>Source!AL307</f>
        <v>61659.15</v>
      </c>
      <c r="G388" s="18" t="str">
        <f>Source!DD307</f>
        <v/>
      </c>
      <c r="H388" s="9">
        <f>Source!AW307</f>
        <v>1</v>
      </c>
      <c r="I388" s="9">
        <f>IF(Source!BC307&lt;&gt; 0, Source!BC307, 1)</f>
        <v>1</v>
      </c>
      <c r="J388" s="20">
        <f>Source!P307</f>
        <v>67763.41</v>
      </c>
      <c r="K388" s="20"/>
    </row>
    <row r="389" spans="1:22" ht="14.25" x14ac:dyDescent="0.2">
      <c r="A389" s="15"/>
      <c r="B389" s="16"/>
      <c r="C389" s="16" t="s">
        <v>363</v>
      </c>
      <c r="D389" s="17" t="s">
        <v>364</v>
      </c>
      <c r="E389" s="9">
        <f>Source!AT307</f>
        <v>70</v>
      </c>
      <c r="F389" s="19"/>
      <c r="G389" s="18"/>
      <c r="H389" s="9"/>
      <c r="I389" s="9"/>
      <c r="J389" s="20">
        <f>SUM(R383:R388)</f>
        <v>1967.63</v>
      </c>
      <c r="K389" s="20"/>
    </row>
    <row r="390" spans="1:22" ht="14.25" x14ac:dyDescent="0.2">
      <c r="A390" s="15"/>
      <c r="B390" s="16"/>
      <c r="C390" s="16" t="s">
        <v>365</v>
      </c>
      <c r="D390" s="17" t="s">
        <v>364</v>
      </c>
      <c r="E390" s="9">
        <f>Source!AU307</f>
        <v>10</v>
      </c>
      <c r="F390" s="19"/>
      <c r="G390" s="18"/>
      <c r="H390" s="9"/>
      <c r="I390" s="9"/>
      <c r="J390" s="20">
        <f>SUM(T383:T389)</f>
        <v>281.08999999999997</v>
      </c>
      <c r="K390" s="20"/>
    </row>
    <row r="391" spans="1:22" ht="14.25" x14ac:dyDescent="0.2">
      <c r="A391" s="15"/>
      <c r="B391" s="16"/>
      <c r="C391" s="16" t="s">
        <v>366</v>
      </c>
      <c r="D391" s="17" t="s">
        <v>364</v>
      </c>
      <c r="E391" s="9">
        <f>108</f>
        <v>108</v>
      </c>
      <c r="F391" s="19"/>
      <c r="G391" s="18"/>
      <c r="H391" s="9"/>
      <c r="I391" s="9"/>
      <c r="J391" s="20">
        <f>SUM(V383:V390)</f>
        <v>3168.64</v>
      </c>
      <c r="K391" s="20"/>
    </row>
    <row r="392" spans="1:22" ht="14.25" x14ac:dyDescent="0.2">
      <c r="A392" s="15"/>
      <c r="B392" s="16"/>
      <c r="C392" s="16" t="s">
        <v>367</v>
      </c>
      <c r="D392" s="17" t="s">
        <v>368</v>
      </c>
      <c r="E392" s="9">
        <f>Source!AQ307</f>
        <v>16.559999999999999</v>
      </c>
      <c r="F392" s="19"/>
      <c r="G392" s="18" t="str">
        <f>Source!DI307</f>
        <v/>
      </c>
      <c r="H392" s="9">
        <f>Source!AV307</f>
        <v>1</v>
      </c>
      <c r="I392" s="9"/>
      <c r="J392" s="20"/>
      <c r="K392" s="20">
        <f>Source!U307</f>
        <v>18.199439999999999</v>
      </c>
    </row>
    <row r="393" spans="1:22" ht="15" x14ac:dyDescent="0.25">
      <c r="A393" s="25"/>
      <c r="B393" s="25"/>
      <c r="C393" s="25"/>
      <c r="D393" s="25"/>
      <c r="E393" s="25"/>
      <c r="F393" s="25"/>
      <c r="G393" s="25"/>
      <c r="H393" s="25"/>
      <c r="I393" s="45">
        <f>J385+J386+J388+J389+J390+J391</f>
        <v>83875.400000000009</v>
      </c>
      <c r="J393" s="45"/>
      <c r="K393" s="26">
        <f>IF(Source!I307&lt;&gt;0, ROUND(I393/Source!I307, 2), 0)</f>
        <v>76319.75</v>
      </c>
      <c r="P393" s="23">
        <f>I393</f>
        <v>83875.400000000009</v>
      </c>
    </row>
    <row r="394" spans="1:22" ht="42.75" x14ac:dyDescent="0.2">
      <c r="A394" s="15" t="str">
        <f>Source!E308</f>
        <v>44</v>
      </c>
      <c r="B394" s="16" t="str">
        <f>Source!F308</f>
        <v>2.1-3303-1-2/1</v>
      </c>
      <c r="C394" s="16" t="str">
        <f>Source!G308</f>
        <v>Устройство подстилающих и выравнивающих слоев оснований из щебня</v>
      </c>
      <c r="D394" s="17" t="str">
        <f>Source!H308</f>
        <v>100 м3</v>
      </c>
      <c r="E394" s="9">
        <f>Source!I308</f>
        <v>1.099</v>
      </c>
      <c r="F394" s="19"/>
      <c r="G394" s="18"/>
      <c r="H394" s="9"/>
      <c r="I394" s="9"/>
      <c r="J394" s="20"/>
      <c r="K394" s="20"/>
      <c r="Q394">
        <f>ROUND((Source!BZ308/100)*ROUND((Source!AF308*Source!AV308)*Source!I308, 2), 2)</f>
        <v>2951.45</v>
      </c>
      <c r="R394">
        <f>Source!X308</f>
        <v>2951.45</v>
      </c>
      <c r="S394">
        <f>ROUND((Source!CA308/100)*ROUND((Source!AF308*Source!AV308)*Source!I308, 2), 2)</f>
        <v>421.64</v>
      </c>
      <c r="T394">
        <f>Source!Y308</f>
        <v>421.64</v>
      </c>
      <c r="U394">
        <f>ROUND((175/100)*ROUND((Source!AE308*Source!AV308)*Source!I308, 2), 2)</f>
        <v>30568.84</v>
      </c>
      <c r="V394">
        <f>ROUND((108/100)*ROUND(Source!CS308*Source!I308, 2), 2)</f>
        <v>18865.34</v>
      </c>
    </row>
    <row r="395" spans="1:22" ht="14.25" x14ac:dyDescent="0.2">
      <c r="A395" s="15"/>
      <c r="B395" s="16"/>
      <c r="C395" s="16" t="s">
        <v>360</v>
      </c>
      <c r="D395" s="17"/>
      <c r="E395" s="9"/>
      <c r="F395" s="19">
        <f>Source!AO308</f>
        <v>3836.54</v>
      </c>
      <c r="G395" s="18" t="str">
        <f>Source!DG308</f>
        <v/>
      </c>
      <c r="H395" s="9">
        <f>Source!AV308</f>
        <v>1</v>
      </c>
      <c r="I395" s="9">
        <f>IF(Source!BA308&lt;&gt; 0, Source!BA308, 1)</f>
        <v>1</v>
      </c>
      <c r="J395" s="20">
        <f>Source!S308</f>
        <v>4216.3599999999997</v>
      </c>
      <c r="K395" s="20"/>
    </row>
    <row r="396" spans="1:22" ht="14.25" x14ac:dyDescent="0.2">
      <c r="A396" s="15"/>
      <c r="B396" s="16"/>
      <c r="C396" s="16" t="s">
        <v>361</v>
      </c>
      <c r="D396" s="17"/>
      <c r="E396" s="9"/>
      <c r="F396" s="19">
        <f>Source!AM308</f>
        <v>43302.76</v>
      </c>
      <c r="G396" s="18" t="str">
        <f>Source!DE308</f>
        <v/>
      </c>
      <c r="H396" s="9">
        <f>Source!AV308</f>
        <v>1</v>
      </c>
      <c r="I396" s="9">
        <f>IF(Source!BB308&lt;&gt; 0, Source!BB308, 1)</f>
        <v>1</v>
      </c>
      <c r="J396" s="20">
        <f>Source!Q308</f>
        <v>47589.73</v>
      </c>
      <c r="K396" s="20"/>
    </row>
    <row r="397" spans="1:22" ht="14.25" x14ac:dyDescent="0.2">
      <c r="A397" s="15"/>
      <c r="B397" s="16"/>
      <c r="C397" s="16" t="s">
        <v>362</v>
      </c>
      <c r="D397" s="17"/>
      <c r="E397" s="9"/>
      <c r="F397" s="19">
        <f>Source!AN308</f>
        <v>15894.37</v>
      </c>
      <c r="G397" s="18" t="str">
        <f>Source!DF308</f>
        <v/>
      </c>
      <c r="H397" s="9">
        <f>Source!AV308</f>
        <v>1</v>
      </c>
      <c r="I397" s="9">
        <f>IF(Source!BS308&lt;&gt; 0, Source!BS308, 1)</f>
        <v>1</v>
      </c>
      <c r="J397" s="22">
        <f>Source!R308</f>
        <v>17467.91</v>
      </c>
      <c r="K397" s="20"/>
    </row>
    <row r="398" spans="1:22" ht="14.25" x14ac:dyDescent="0.2">
      <c r="A398" s="15"/>
      <c r="B398" s="16"/>
      <c r="C398" s="16" t="s">
        <v>369</v>
      </c>
      <c r="D398" s="17"/>
      <c r="E398" s="9"/>
      <c r="F398" s="19">
        <f>Source!AL308</f>
        <v>240984.87</v>
      </c>
      <c r="G398" s="18" t="str">
        <f>Source!DD308</f>
        <v/>
      </c>
      <c r="H398" s="9">
        <f>Source!AW308</f>
        <v>1</v>
      </c>
      <c r="I398" s="9">
        <f>IF(Source!BC308&lt;&gt; 0, Source!BC308, 1)</f>
        <v>1</v>
      </c>
      <c r="J398" s="20">
        <f>Source!P308</f>
        <v>264842.37</v>
      </c>
      <c r="K398" s="20"/>
    </row>
    <row r="399" spans="1:22" ht="14.25" x14ac:dyDescent="0.2">
      <c r="A399" s="15"/>
      <c r="B399" s="16"/>
      <c r="C399" s="16" t="s">
        <v>363</v>
      </c>
      <c r="D399" s="17" t="s">
        <v>364</v>
      </c>
      <c r="E399" s="9">
        <f>Source!AT308</f>
        <v>70</v>
      </c>
      <c r="F399" s="19"/>
      <c r="G399" s="18"/>
      <c r="H399" s="9"/>
      <c r="I399" s="9"/>
      <c r="J399" s="20">
        <f>SUM(R394:R398)</f>
        <v>2951.45</v>
      </c>
      <c r="K399" s="20"/>
    </row>
    <row r="400" spans="1:22" ht="14.25" x14ac:dyDescent="0.2">
      <c r="A400" s="15"/>
      <c r="B400" s="16"/>
      <c r="C400" s="16" t="s">
        <v>365</v>
      </c>
      <c r="D400" s="17" t="s">
        <v>364</v>
      </c>
      <c r="E400" s="9">
        <f>Source!AU308</f>
        <v>10</v>
      </c>
      <c r="F400" s="19"/>
      <c r="G400" s="18"/>
      <c r="H400" s="9"/>
      <c r="I400" s="9"/>
      <c r="J400" s="20">
        <f>SUM(T394:T399)</f>
        <v>421.64</v>
      </c>
      <c r="K400" s="20"/>
    </row>
    <row r="401" spans="1:22" ht="14.25" x14ac:dyDescent="0.2">
      <c r="A401" s="15"/>
      <c r="B401" s="16"/>
      <c r="C401" s="16" t="s">
        <v>366</v>
      </c>
      <c r="D401" s="17" t="s">
        <v>364</v>
      </c>
      <c r="E401" s="9">
        <f>108</f>
        <v>108</v>
      </c>
      <c r="F401" s="19"/>
      <c r="G401" s="18"/>
      <c r="H401" s="9"/>
      <c r="I401" s="9"/>
      <c r="J401" s="20">
        <f>SUM(V394:V400)</f>
        <v>18865.34</v>
      </c>
      <c r="K401" s="20"/>
    </row>
    <row r="402" spans="1:22" ht="14.25" x14ac:dyDescent="0.2">
      <c r="A402" s="15"/>
      <c r="B402" s="16"/>
      <c r="C402" s="16" t="s">
        <v>367</v>
      </c>
      <c r="D402" s="17" t="s">
        <v>368</v>
      </c>
      <c r="E402" s="9">
        <f>Source!AQ308</f>
        <v>24.84</v>
      </c>
      <c r="F402" s="19"/>
      <c r="G402" s="18" t="str">
        <f>Source!DI308</f>
        <v/>
      </c>
      <c r="H402" s="9">
        <f>Source!AV308</f>
        <v>1</v>
      </c>
      <c r="I402" s="9"/>
      <c r="J402" s="20"/>
      <c r="K402" s="20">
        <f>Source!U308</f>
        <v>27.299160000000001</v>
      </c>
    </row>
    <row r="403" spans="1:22" ht="15" x14ac:dyDescent="0.25">
      <c r="A403" s="25"/>
      <c r="B403" s="25"/>
      <c r="C403" s="25"/>
      <c r="D403" s="25"/>
      <c r="E403" s="25"/>
      <c r="F403" s="25"/>
      <c r="G403" s="25"/>
      <c r="H403" s="25"/>
      <c r="I403" s="45">
        <f>J395+J396+J398+J399+J400+J401</f>
        <v>338886.89000000007</v>
      </c>
      <c r="J403" s="45"/>
      <c r="K403" s="26">
        <f>IF(Source!I308&lt;&gt;0, ROUND(I403/Source!I308, 2), 0)</f>
        <v>308359.32</v>
      </c>
      <c r="P403" s="23">
        <f>I403</f>
        <v>338886.89000000007</v>
      </c>
    </row>
    <row r="404" spans="1:22" ht="42.75" x14ac:dyDescent="0.2">
      <c r="A404" s="15" t="str">
        <f>Source!E309</f>
        <v>45</v>
      </c>
      <c r="B404" s="16" t="str">
        <f>Source!F309</f>
        <v>2.1-3103-18-1/1</v>
      </c>
      <c r="C404" s="16" t="str">
        <f>Source!G309</f>
        <v>Устройство покрытий из асфальтобетонных смесей вручную, толщина 4 см (до 5см)</v>
      </c>
      <c r="D404" s="17" t="str">
        <f>Source!H309</f>
        <v>100 м2</v>
      </c>
      <c r="E404" s="9">
        <f>Source!I309</f>
        <v>10.99</v>
      </c>
      <c r="F404" s="19"/>
      <c r="G404" s="18"/>
      <c r="H404" s="9"/>
      <c r="I404" s="9"/>
      <c r="J404" s="20"/>
      <c r="K404" s="20"/>
      <c r="Q404">
        <f>ROUND((Source!BZ309/100)*ROUND((Source!AF309*Source!AV309)*Source!I309, 2), 2)</f>
        <v>19850.560000000001</v>
      </c>
      <c r="R404">
        <f>Source!X309</f>
        <v>19850.560000000001</v>
      </c>
      <c r="S404">
        <f>ROUND((Source!CA309/100)*ROUND((Source!AF309*Source!AV309)*Source!I309, 2), 2)</f>
        <v>2835.79</v>
      </c>
      <c r="T404">
        <f>Source!Y309</f>
        <v>2835.79</v>
      </c>
      <c r="U404">
        <f>ROUND((175/100)*ROUND((Source!AE309*Source!AV309)*Source!I309, 2), 2)</f>
        <v>13765.27</v>
      </c>
      <c r="V404">
        <f>ROUND((108/100)*ROUND(Source!CS309*Source!I309, 2), 2)</f>
        <v>8495.14</v>
      </c>
    </row>
    <row r="405" spans="1:22" x14ac:dyDescent="0.2">
      <c r="C405" s="21" t="str">
        <f>"Объем: "&amp;Source!I309&amp;"=1099/"&amp;"100"</f>
        <v>Объем: 10,99=1099/100</v>
      </c>
    </row>
    <row r="406" spans="1:22" ht="14.25" x14ac:dyDescent="0.2">
      <c r="A406" s="15"/>
      <c r="B406" s="16"/>
      <c r="C406" s="16" t="s">
        <v>360</v>
      </c>
      <c r="D406" s="17"/>
      <c r="E406" s="9"/>
      <c r="F406" s="19">
        <f>Source!AO309</f>
        <v>2580.34</v>
      </c>
      <c r="G406" s="18" t="str">
        <f>Source!DG309</f>
        <v/>
      </c>
      <c r="H406" s="9">
        <f>Source!AV309</f>
        <v>1</v>
      </c>
      <c r="I406" s="9">
        <f>IF(Source!BA309&lt;&gt; 0, Source!BA309, 1)</f>
        <v>1</v>
      </c>
      <c r="J406" s="20">
        <f>Source!S309</f>
        <v>28357.94</v>
      </c>
      <c r="K406" s="20"/>
    </row>
    <row r="407" spans="1:22" ht="14.25" x14ac:dyDescent="0.2">
      <c r="A407" s="15"/>
      <c r="B407" s="16"/>
      <c r="C407" s="16" t="s">
        <v>361</v>
      </c>
      <c r="D407" s="17"/>
      <c r="E407" s="9"/>
      <c r="F407" s="19">
        <f>Source!AM309</f>
        <v>1235.5</v>
      </c>
      <c r="G407" s="18" t="str">
        <f>Source!DE309</f>
        <v/>
      </c>
      <c r="H407" s="9">
        <f>Source!AV309</f>
        <v>1</v>
      </c>
      <c r="I407" s="9">
        <f>IF(Source!BB309&lt;&gt; 0, Source!BB309, 1)</f>
        <v>1</v>
      </c>
      <c r="J407" s="20">
        <f>Source!Q309</f>
        <v>13578.15</v>
      </c>
      <c r="K407" s="20"/>
    </row>
    <row r="408" spans="1:22" ht="14.25" x14ac:dyDescent="0.2">
      <c r="A408" s="15"/>
      <c r="B408" s="16"/>
      <c r="C408" s="16" t="s">
        <v>362</v>
      </c>
      <c r="D408" s="17"/>
      <c r="E408" s="9"/>
      <c r="F408" s="19">
        <f>Source!AN309</f>
        <v>715.73</v>
      </c>
      <c r="G408" s="18" t="str">
        <f>Source!DF309</f>
        <v/>
      </c>
      <c r="H408" s="9">
        <f>Source!AV309</f>
        <v>1</v>
      </c>
      <c r="I408" s="9">
        <f>IF(Source!BS309&lt;&gt; 0, Source!BS309, 1)</f>
        <v>1</v>
      </c>
      <c r="J408" s="22">
        <f>Source!R309</f>
        <v>7865.87</v>
      </c>
      <c r="K408" s="20"/>
    </row>
    <row r="409" spans="1:22" ht="14.25" x14ac:dyDescent="0.2">
      <c r="A409" s="15"/>
      <c r="B409" s="16"/>
      <c r="C409" s="16" t="s">
        <v>369</v>
      </c>
      <c r="D409" s="17"/>
      <c r="E409" s="9"/>
      <c r="F409" s="19">
        <f>Source!AL309</f>
        <v>22172.43</v>
      </c>
      <c r="G409" s="18" t="str">
        <f>Source!DD309</f>
        <v>/4*5</v>
      </c>
      <c r="H409" s="9">
        <f>Source!AW309</f>
        <v>1</v>
      </c>
      <c r="I409" s="9">
        <f>IF(Source!BC309&lt;&gt; 0, Source!BC309, 1)</f>
        <v>1</v>
      </c>
      <c r="J409" s="20">
        <f>Source!P309</f>
        <v>304593.76</v>
      </c>
      <c r="K409" s="20"/>
    </row>
    <row r="410" spans="1:22" ht="14.25" x14ac:dyDescent="0.2">
      <c r="A410" s="15"/>
      <c r="B410" s="16"/>
      <c r="C410" s="16" t="s">
        <v>363</v>
      </c>
      <c r="D410" s="17" t="s">
        <v>364</v>
      </c>
      <c r="E410" s="9">
        <f>Source!AT309</f>
        <v>70</v>
      </c>
      <c r="F410" s="19"/>
      <c r="G410" s="18"/>
      <c r="H410" s="9"/>
      <c r="I410" s="9"/>
      <c r="J410" s="20">
        <f>SUM(R404:R409)</f>
        <v>19850.560000000001</v>
      </c>
      <c r="K410" s="20"/>
    </row>
    <row r="411" spans="1:22" ht="14.25" x14ac:dyDescent="0.2">
      <c r="A411" s="15"/>
      <c r="B411" s="16"/>
      <c r="C411" s="16" t="s">
        <v>365</v>
      </c>
      <c r="D411" s="17" t="s">
        <v>364</v>
      </c>
      <c r="E411" s="9">
        <f>Source!AU309</f>
        <v>10</v>
      </c>
      <c r="F411" s="19"/>
      <c r="G411" s="18"/>
      <c r="H411" s="9"/>
      <c r="I411" s="9"/>
      <c r="J411" s="20">
        <f>SUM(T404:T410)</f>
        <v>2835.79</v>
      </c>
      <c r="K411" s="20"/>
    </row>
    <row r="412" spans="1:22" ht="14.25" x14ac:dyDescent="0.2">
      <c r="A412" s="15"/>
      <c r="B412" s="16"/>
      <c r="C412" s="16" t="s">
        <v>366</v>
      </c>
      <c r="D412" s="17" t="s">
        <v>364</v>
      </c>
      <c r="E412" s="9">
        <f>108</f>
        <v>108</v>
      </c>
      <c r="F412" s="19"/>
      <c r="G412" s="18"/>
      <c r="H412" s="9"/>
      <c r="I412" s="9"/>
      <c r="J412" s="20">
        <f>SUM(V404:V411)</f>
        <v>8495.14</v>
      </c>
      <c r="K412" s="20"/>
    </row>
    <row r="413" spans="1:22" ht="14.25" x14ac:dyDescent="0.2">
      <c r="A413" s="15"/>
      <c r="B413" s="16"/>
      <c r="C413" s="16" t="s">
        <v>367</v>
      </c>
      <c r="D413" s="17" t="s">
        <v>368</v>
      </c>
      <c r="E413" s="9">
        <f>Source!AQ309</f>
        <v>13.57</v>
      </c>
      <c r="F413" s="19"/>
      <c r="G413" s="18" t="str">
        <f>Source!DI309</f>
        <v/>
      </c>
      <c r="H413" s="9">
        <f>Source!AV309</f>
        <v>1</v>
      </c>
      <c r="I413" s="9"/>
      <c r="J413" s="20"/>
      <c r="K413" s="20">
        <f>Source!U309</f>
        <v>149.1343</v>
      </c>
    </row>
    <row r="414" spans="1:22" ht="15" x14ac:dyDescent="0.25">
      <c r="A414" s="25"/>
      <c r="B414" s="25"/>
      <c r="C414" s="25"/>
      <c r="D414" s="25"/>
      <c r="E414" s="25"/>
      <c r="F414" s="25"/>
      <c r="G414" s="25"/>
      <c r="H414" s="25"/>
      <c r="I414" s="45">
        <f>J406+J407+J409+J410+J411+J412</f>
        <v>377711.33999999997</v>
      </c>
      <c r="J414" s="45"/>
      <c r="K414" s="26">
        <f>IF(Source!I309&lt;&gt;0, ROUND(I414/Source!I309, 2), 0)</f>
        <v>34368.639999999999</v>
      </c>
      <c r="P414" s="23">
        <f>I414</f>
        <v>377711.33999999997</v>
      </c>
    </row>
    <row r="415" spans="1:22" ht="57" x14ac:dyDescent="0.2">
      <c r="A415" s="15" t="str">
        <f>Source!E310</f>
        <v>46</v>
      </c>
      <c r="B415" s="16" t="str">
        <f>Source!F310</f>
        <v>5.3-3103-11-1/1</v>
      </c>
      <c r="C415" s="16" t="str">
        <f>Source!G310</f>
        <v>Устройство наливного полиуретанового покрытия спортивных площадок и беговых дорожек толщиной 10 мм</v>
      </c>
      <c r="D415" s="17" t="str">
        <f>Source!H310</f>
        <v>100 м2</v>
      </c>
      <c r="E415" s="9">
        <f>Source!I310</f>
        <v>10.99</v>
      </c>
      <c r="F415" s="19"/>
      <c r="G415" s="18"/>
      <c r="H415" s="9"/>
      <c r="I415" s="9"/>
      <c r="J415" s="20"/>
      <c r="K415" s="20"/>
      <c r="Q415">
        <f>ROUND((Source!BZ310/100)*ROUND((Source!AF310*Source!AV310)*Source!I310, 2), 2)</f>
        <v>26057.81</v>
      </c>
      <c r="R415">
        <f>Source!X310</f>
        <v>26057.81</v>
      </c>
      <c r="S415">
        <f>ROUND((Source!CA310/100)*ROUND((Source!AF310*Source!AV310)*Source!I310, 2), 2)</f>
        <v>3722.54</v>
      </c>
      <c r="T415">
        <f>Source!Y310</f>
        <v>3722.54</v>
      </c>
      <c r="U415">
        <f>ROUND((175/100)*ROUND((Source!AE310*Source!AV310)*Source!I310, 2), 2)</f>
        <v>28981.84</v>
      </c>
      <c r="V415">
        <f>ROUND((108/100)*ROUND(Source!CS310*Source!I310, 2), 2)</f>
        <v>17885.93</v>
      </c>
    </row>
    <row r="416" spans="1:22" ht="14.25" x14ac:dyDescent="0.2">
      <c r="A416" s="15"/>
      <c r="B416" s="16"/>
      <c r="C416" s="16" t="s">
        <v>360</v>
      </c>
      <c r="D416" s="17"/>
      <c r="E416" s="9"/>
      <c r="F416" s="19">
        <f>Source!AO310</f>
        <v>3387.21</v>
      </c>
      <c r="G416" s="18" t="str">
        <f>Source!DG310</f>
        <v/>
      </c>
      <c r="H416" s="9">
        <f>Source!AV310</f>
        <v>1</v>
      </c>
      <c r="I416" s="9">
        <f>IF(Source!BA310&lt;&gt; 0, Source!BA310, 1)</f>
        <v>1</v>
      </c>
      <c r="J416" s="20">
        <f>Source!S310</f>
        <v>37225.440000000002</v>
      </c>
      <c r="K416" s="20"/>
    </row>
    <row r="417" spans="1:22" ht="14.25" x14ac:dyDescent="0.2">
      <c r="A417" s="15"/>
      <c r="B417" s="16"/>
      <c r="C417" s="16" t="s">
        <v>361</v>
      </c>
      <c r="D417" s="17"/>
      <c r="E417" s="9"/>
      <c r="F417" s="19">
        <f>Source!AM310</f>
        <v>1975.28</v>
      </c>
      <c r="G417" s="18" t="str">
        <f>Source!DE310</f>
        <v/>
      </c>
      <c r="H417" s="9">
        <f>Source!AV310</f>
        <v>1</v>
      </c>
      <c r="I417" s="9">
        <f>IF(Source!BB310&lt;&gt; 0, Source!BB310, 1)</f>
        <v>1</v>
      </c>
      <c r="J417" s="20">
        <f>Source!Q310</f>
        <v>21708.33</v>
      </c>
      <c r="K417" s="20"/>
    </row>
    <row r="418" spans="1:22" ht="14.25" x14ac:dyDescent="0.2">
      <c r="A418" s="15"/>
      <c r="B418" s="16"/>
      <c r="C418" s="16" t="s">
        <v>362</v>
      </c>
      <c r="D418" s="17"/>
      <c r="E418" s="9"/>
      <c r="F418" s="19">
        <f>Source!AN310</f>
        <v>1506.92</v>
      </c>
      <c r="G418" s="18" t="str">
        <f>Source!DF310</f>
        <v/>
      </c>
      <c r="H418" s="9">
        <f>Source!AV310</f>
        <v>1</v>
      </c>
      <c r="I418" s="9">
        <f>IF(Source!BS310&lt;&gt; 0, Source!BS310, 1)</f>
        <v>1</v>
      </c>
      <c r="J418" s="22">
        <f>Source!R310</f>
        <v>16561.05</v>
      </c>
      <c r="K418" s="20"/>
    </row>
    <row r="419" spans="1:22" ht="14.25" x14ac:dyDescent="0.2">
      <c r="A419" s="15"/>
      <c r="B419" s="16"/>
      <c r="C419" s="16" t="s">
        <v>369</v>
      </c>
      <c r="D419" s="17"/>
      <c r="E419" s="9"/>
      <c r="F419" s="19">
        <f>Source!AL310</f>
        <v>76330.37</v>
      </c>
      <c r="G419" s="18" t="str">
        <f>Source!DD310</f>
        <v/>
      </c>
      <c r="H419" s="9">
        <f>Source!AW310</f>
        <v>1</v>
      </c>
      <c r="I419" s="9">
        <f>IF(Source!BC310&lt;&gt; 0, Source!BC310, 1)</f>
        <v>1</v>
      </c>
      <c r="J419" s="20">
        <f>Source!P310</f>
        <v>838870.77</v>
      </c>
      <c r="K419" s="20"/>
    </row>
    <row r="420" spans="1:22" ht="14.25" x14ac:dyDescent="0.2">
      <c r="A420" s="15"/>
      <c r="B420" s="16"/>
      <c r="C420" s="16" t="s">
        <v>363</v>
      </c>
      <c r="D420" s="17" t="s">
        <v>364</v>
      </c>
      <c r="E420" s="9">
        <f>Source!AT310</f>
        <v>70</v>
      </c>
      <c r="F420" s="19"/>
      <c r="G420" s="18"/>
      <c r="H420" s="9"/>
      <c r="I420" s="9"/>
      <c r="J420" s="20">
        <f>SUM(R415:R419)</f>
        <v>26057.81</v>
      </c>
      <c r="K420" s="20"/>
    </row>
    <row r="421" spans="1:22" ht="14.25" x14ac:dyDescent="0.2">
      <c r="A421" s="15"/>
      <c r="B421" s="16"/>
      <c r="C421" s="16" t="s">
        <v>365</v>
      </c>
      <c r="D421" s="17" t="s">
        <v>364</v>
      </c>
      <c r="E421" s="9">
        <f>Source!AU310</f>
        <v>10</v>
      </c>
      <c r="F421" s="19"/>
      <c r="G421" s="18"/>
      <c r="H421" s="9"/>
      <c r="I421" s="9"/>
      <c r="J421" s="20">
        <f>SUM(T415:T420)</f>
        <v>3722.54</v>
      </c>
      <c r="K421" s="20"/>
    </row>
    <row r="422" spans="1:22" ht="14.25" x14ac:dyDescent="0.2">
      <c r="A422" s="15"/>
      <c r="B422" s="16"/>
      <c r="C422" s="16" t="s">
        <v>366</v>
      </c>
      <c r="D422" s="17" t="s">
        <v>364</v>
      </c>
      <c r="E422" s="9">
        <f>108</f>
        <v>108</v>
      </c>
      <c r="F422" s="19"/>
      <c r="G422" s="18"/>
      <c r="H422" s="9"/>
      <c r="I422" s="9"/>
      <c r="J422" s="20">
        <f>SUM(V415:V421)</f>
        <v>17885.93</v>
      </c>
      <c r="K422" s="20"/>
    </row>
    <row r="423" spans="1:22" ht="14.25" x14ac:dyDescent="0.2">
      <c r="A423" s="15"/>
      <c r="B423" s="16"/>
      <c r="C423" s="16" t="s">
        <v>367</v>
      </c>
      <c r="D423" s="17" t="s">
        <v>368</v>
      </c>
      <c r="E423" s="9">
        <f>Source!AQ310</f>
        <v>18.440000000000001</v>
      </c>
      <c r="F423" s="19"/>
      <c r="G423" s="18" t="str">
        <f>Source!DI310</f>
        <v/>
      </c>
      <c r="H423" s="9">
        <f>Source!AV310</f>
        <v>1</v>
      </c>
      <c r="I423" s="9"/>
      <c r="J423" s="20"/>
      <c r="K423" s="20">
        <f>Source!U310</f>
        <v>202.65560000000002</v>
      </c>
    </row>
    <row r="424" spans="1:22" ht="15" x14ac:dyDescent="0.25">
      <c r="A424" s="25"/>
      <c r="B424" s="25"/>
      <c r="C424" s="25"/>
      <c r="D424" s="25"/>
      <c r="E424" s="25"/>
      <c r="F424" s="25"/>
      <c r="G424" s="25"/>
      <c r="H424" s="25"/>
      <c r="I424" s="45">
        <f>J416+J417+J419+J420+J421+J422</f>
        <v>945470.82000000018</v>
      </c>
      <c r="J424" s="45"/>
      <c r="K424" s="26">
        <f>IF(Source!I310&lt;&gt;0, ROUND(I424/Source!I310, 2), 0)</f>
        <v>86030.1</v>
      </c>
      <c r="P424" s="23">
        <f>I424</f>
        <v>945470.82000000018</v>
      </c>
    </row>
    <row r="425" spans="1:22" ht="71.25" x14ac:dyDescent="0.2">
      <c r="A425" s="15" t="str">
        <f>Source!E311</f>
        <v>47</v>
      </c>
      <c r="B425" s="16" t="str">
        <f>Source!F311</f>
        <v>5.3-3103-11-2/1</v>
      </c>
      <c r="C425" s="16" t="str">
        <f>Source!G311</f>
        <v>Устройство наливного полиуретанового покрытия спортивных площадок и беговых дорожек, добавляется на 2 мм толщины покрытия</v>
      </c>
      <c r="D425" s="17" t="str">
        <f>Source!H311</f>
        <v>100 м2</v>
      </c>
      <c r="E425" s="9">
        <f>Source!I311</f>
        <v>10.99</v>
      </c>
      <c r="F425" s="19"/>
      <c r="G425" s="18"/>
      <c r="H425" s="9"/>
      <c r="I425" s="9"/>
      <c r="J425" s="20"/>
      <c r="K425" s="20"/>
      <c r="Q425">
        <f>ROUND((Source!BZ311/100)*ROUND((Source!AF311*Source!AV311)*Source!I311, 2), 2)</f>
        <v>3857.97</v>
      </c>
      <c r="R425">
        <f>Source!X311</f>
        <v>3857.97</v>
      </c>
      <c r="S425">
        <f>ROUND((Source!CA311/100)*ROUND((Source!AF311*Source!AV311)*Source!I311, 2), 2)</f>
        <v>551.14</v>
      </c>
      <c r="T425">
        <f>Source!Y311</f>
        <v>551.14</v>
      </c>
      <c r="U425">
        <f>ROUND((175/100)*ROUND((Source!AE311*Source!AV311)*Source!I311, 2), 2)</f>
        <v>5472.22</v>
      </c>
      <c r="V425">
        <f>ROUND((108/100)*ROUND(Source!CS311*Source!I311, 2), 2)</f>
        <v>3377.14</v>
      </c>
    </row>
    <row r="426" spans="1:22" ht="14.25" x14ac:dyDescent="0.2">
      <c r="A426" s="15"/>
      <c r="B426" s="16"/>
      <c r="C426" s="16" t="s">
        <v>360</v>
      </c>
      <c r="D426" s="17"/>
      <c r="E426" s="9"/>
      <c r="F426" s="19">
        <f>Source!AO311</f>
        <v>501.49</v>
      </c>
      <c r="G426" s="18" t="str">
        <f>Source!DG311</f>
        <v/>
      </c>
      <c r="H426" s="9">
        <f>Source!AV311</f>
        <v>1</v>
      </c>
      <c r="I426" s="9">
        <f>IF(Source!BA311&lt;&gt; 0, Source!BA311, 1)</f>
        <v>1</v>
      </c>
      <c r="J426" s="20">
        <f>Source!S311</f>
        <v>5511.38</v>
      </c>
      <c r="K426" s="20"/>
    </row>
    <row r="427" spans="1:22" ht="14.25" x14ac:dyDescent="0.2">
      <c r="A427" s="15"/>
      <c r="B427" s="16"/>
      <c r="C427" s="16" t="s">
        <v>361</v>
      </c>
      <c r="D427" s="17"/>
      <c r="E427" s="9"/>
      <c r="F427" s="19">
        <f>Source!AM311</f>
        <v>371.84</v>
      </c>
      <c r="G427" s="18" t="str">
        <f>Source!DE311</f>
        <v/>
      </c>
      <c r="H427" s="9">
        <f>Source!AV311</f>
        <v>1</v>
      </c>
      <c r="I427" s="9">
        <f>IF(Source!BB311&lt;&gt; 0, Source!BB311, 1)</f>
        <v>1</v>
      </c>
      <c r="J427" s="20">
        <f>Source!Q311</f>
        <v>4086.52</v>
      </c>
      <c r="K427" s="20"/>
    </row>
    <row r="428" spans="1:22" ht="14.25" x14ac:dyDescent="0.2">
      <c r="A428" s="15"/>
      <c r="B428" s="16"/>
      <c r="C428" s="16" t="s">
        <v>362</v>
      </c>
      <c r="D428" s="17"/>
      <c r="E428" s="9"/>
      <c r="F428" s="19">
        <f>Source!AN311</f>
        <v>284.52999999999997</v>
      </c>
      <c r="G428" s="18" t="str">
        <f>Source!DF311</f>
        <v/>
      </c>
      <c r="H428" s="9">
        <f>Source!AV311</f>
        <v>1</v>
      </c>
      <c r="I428" s="9">
        <f>IF(Source!BS311&lt;&gt; 0, Source!BS311, 1)</f>
        <v>1</v>
      </c>
      <c r="J428" s="22">
        <f>Source!R311</f>
        <v>3126.98</v>
      </c>
      <c r="K428" s="20"/>
    </row>
    <row r="429" spans="1:22" ht="14.25" x14ac:dyDescent="0.2">
      <c r="A429" s="15"/>
      <c r="B429" s="16"/>
      <c r="C429" s="16" t="s">
        <v>369</v>
      </c>
      <c r="D429" s="17"/>
      <c r="E429" s="9"/>
      <c r="F429" s="19">
        <f>Source!AL311</f>
        <v>14084.7</v>
      </c>
      <c r="G429" s="18" t="str">
        <f>Source!DD311</f>
        <v/>
      </c>
      <c r="H429" s="9">
        <f>Source!AW311</f>
        <v>1</v>
      </c>
      <c r="I429" s="9">
        <f>IF(Source!BC311&lt;&gt; 0, Source!BC311, 1)</f>
        <v>1</v>
      </c>
      <c r="J429" s="20">
        <f>Source!P311</f>
        <v>154790.85</v>
      </c>
      <c r="K429" s="20"/>
    </row>
    <row r="430" spans="1:22" ht="14.25" x14ac:dyDescent="0.2">
      <c r="A430" s="15"/>
      <c r="B430" s="16"/>
      <c r="C430" s="16" t="s">
        <v>363</v>
      </c>
      <c r="D430" s="17" t="s">
        <v>364</v>
      </c>
      <c r="E430" s="9">
        <f>Source!AT311</f>
        <v>70</v>
      </c>
      <c r="F430" s="19"/>
      <c r="G430" s="18"/>
      <c r="H430" s="9"/>
      <c r="I430" s="9"/>
      <c r="J430" s="20">
        <f>SUM(R425:R429)</f>
        <v>3857.97</v>
      </c>
      <c r="K430" s="20"/>
    </row>
    <row r="431" spans="1:22" ht="14.25" x14ac:dyDescent="0.2">
      <c r="A431" s="15"/>
      <c r="B431" s="16"/>
      <c r="C431" s="16" t="s">
        <v>365</v>
      </c>
      <c r="D431" s="17" t="s">
        <v>364</v>
      </c>
      <c r="E431" s="9">
        <f>Source!AU311</f>
        <v>10</v>
      </c>
      <c r="F431" s="19"/>
      <c r="G431" s="18"/>
      <c r="H431" s="9"/>
      <c r="I431" s="9"/>
      <c r="J431" s="20">
        <f>SUM(T425:T430)</f>
        <v>551.14</v>
      </c>
      <c r="K431" s="20"/>
    </row>
    <row r="432" spans="1:22" ht="14.25" x14ac:dyDescent="0.2">
      <c r="A432" s="15"/>
      <c r="B432" s="16"/>
      <c r="C432" s="16" t="s">
        <v>366</v>
      </c>
      <c r="D432" s="17" t="s">
        <v>364</v>
      </c>
      <c r="E432" s="9">
        <f>108</f>
        <v>108</v>
      </c>
      <c r="F432" s="19"/>
      <c r="G432" s="18"/>
      <c r="H432" s="9"/>
      <c r="I432" s="9"/>
      <c r="J432" s="20">
        <f>SUM(V425:V431)</f>
        <v>3377.14</v>
      </c>
      <c r="K432" s="20"/>
    </row>
    <row r="433" spans="1:32" ht="14.25" x14ac:dyDescent="0.2">
      <c r="A433" s="15"/>
      <c r="B433" s="16"/>
      <c r="C433" s="16" t="s">
        <v>367</v>
      </c>
      <c r="D433" s="17" t="s">
        <v>368</v>
      </c>
      <c r="E433" s="9">
        <f>Source!AQ311</f>
        <v>2.65</v>
      </c>
      <c r="F433" s="19"/>
      <c r="G433" s="18" t="str">
        <f>Source!DI311</f>
        <v/>
      </c>
      <c r="H433" s="9">
        <f>Source!AV311</f>
        <v>1</v>
      </c>
      <c r="I433" s="9"/>
      <c r="J433" s="20"/>
      <c r="K433" s="20">
        <f>Source!U311</f>
        <v>29.1235</v>
      </c>
    </row>
    <row r="434" spans="1:32" ht="15" x14ac:dyDescent="0.25">
      <c r="A434" s="25"/>
      <c r="B434" s="25"/>
      <c r="C434" s="25"/>
      <c r="D434" s="25"/>
      <c r="E434" s="25"/>
      <c r="F434" s="25"/>
      <c r="G434" s="25"/>
      <c r="H434" s="25"/>
      <c r="I434" s="45">
        <f>J426+J427+J429+J430+J431+J432</f>
        <v>172175.00000000003</v>
      </c>
      <c r="J434" s="45"/>
      <c r="K434" s="26">
        <f>IF(Source!I311&lt;&gt;0, ROUND(I434/Source!I311, 2), 0)</f>
        <v>15666.52</v>
      </c>
      <c r="P434" s="23">
        <f>I434</f>
        <v>172175.00000000003</v>
      </c>
    </row>
    <row r="435" spans="1:32" ht="42.75" x14ac:dyDescent="0.2">
      <c r="A435" s="15" t="str">
        <f>Source!E312</f>
        <v>48</v>
      </c>
      <c r="B435" s="16" t="str">
        <f>Source!F312</f>
        <v>2.1-3203-10-1/1</v>
      </c>
      <c r="C435" s="16" t="str">
        <f>Source!G312</f>
        <v>Нанесение линии дорожной разметки краской, линия продольная, сплошная, краска белая</v>
      </c>
      <c r="D435" s="17" t="str">
        <f>Source!H312</f>
        <v>м2</v>
      </c>
      <c r="E435" s="9">
        <f>Source!I312</f>
        <v>156</v>
      </c>
      <c r="F435" s="19"/>
      <c r="G435" s="18"/>
      <c r="H435" s="9"/>
      <c r="I435" s="9"/>
      <c r="J435" s="20"/>
      <c r="K435" s="20"/>
      <c r="Q435">
        <f>ROUND((Source!BZ312/100)*ROUND((Source!AF312*Source!AV312)*Source!I312, 2), 2)</f>
        <v>1297.92</v>
      </c>
      <c r="R435">
        <f>Source!X312</f>
        <v>1297.92</v>
      </c>
      <c r="S435">
        <f>ROUND((Source!CA312/100)*ROUND((Source!AF312*Source!AV312)*Source!I312, 2), 2)</f>
        <v>162.24</v>
      </c>
      <c r="T435">
        <f>Source!Y312</f>
        <v>162.24</v>
      </c>
      <c r="U435">
        <f>ROUND((175/100)*ROUND((Source!AE312*Source!AV312)*Source!I312, 2), 2)</f>
        <v>854.49</v>
      </c>
      <c r="V435">
        <f>ROUND((108/100)*ROUND(Source!CS312*Source!I312, 2), 2)</f>
        <v>527.34</v>
      </c>
    </row>
    <row r="436" spans="1:32" ht="14.25" x14ac:dyDescent="0.2">
      <c r="A436" s="15"/>
      <c r="B436" s="16"/>
      <c r="C436" s="16" t="s">
        <v>360</v>
      </c>
      <c r="D436" s="17"/>
      <c r="E436" s="9"/>
      <c r="F436" s="19">
        <f>Source!AO312</f>
        <v>10.4</v>
      </c>
      <c r="G436" s="18" t="str">
        <f>Source!DG312</f>
        <v/>
      </c>
      <c r="H436" s="9">
        <f>Source!AV312</f>
        <v>1</v>
      </c>
      <c r="I436" s="9">
        <f>IF(Source!BA312&lt;&gt; 0, Source!BA312, 1)</f>
        <v>1</v>
      </c>
      <c r="J436" s="20">
        <f>Source!S312</f>
        <v>1622.4</v>
      </c>
      <c r="K436" s="20"/>
    </row>
    <row r="437" spans="1:32" ht="14.25" x14ac:dyDescent="0.2">
      <c r="A437" s="15"/>
      <c r="B437" s="16"/>
      <c r="C437" s="16" t="s">
        <v>361</v>
      </c>
      <c r="D437" s="17"/>
      <c r="E437" s="9"/>
      <c r="F437" s="19">
        <f>Source!AM312</f>
        <v>17.57</v>
      </c>
      <c r="G437" s="18" t="str">
        <f>Source!DE312</f>
        <v/>
      </c>
      <c r="H437" s="9">
        <f>Source!AV312</f>
        <v>1</v>
      </c>
      <c r="I437" s="9">
        <f>IF(Source!BB312&lt;&gt; 0, Source!BB312, 1)</f>
        <v>1</v>
      </c>
      <c r="J437" s="20">
        <f>Source!Q312</f>
        <v>2740.92</v>
      </c>
      <c r="K437" s="20"/>
    </row>
    <row r="438" spans="1:32" ht="14.25" x14ac:dyDescent="0.2">
      <c r="A438" s="15"/>
      <c r="B438" s="16"/>
      <c r="C438" s="16" t="s">
        <v>362</v>
      </c>
      <c r="D438" s="17"/>
      <c r="E438" s="9"/>
      <c r="F438" s="19">
        <f>Source!AN312</f>
        <v>3.13</v>
      </c>
      <c r="G438" s="18" t="str">
        <f>Source!DF312</f>
        <v/>
      </c>
      <c r="H438" s="9">
        <f>Source!AV312</f>
        <v>1</v>
      </c>
      <c r="I438" s="9">
        <f>IF(Source!BS312&lt;&gt; 0, Source!BS312, 1)</f>
        <v>1</v>
      </c>
      <c r="J438" s="22">
        <f>Source!R312</f>
        <v>488.28</v>
      </c>
      <c r="K438" s="20"/>
    </row>
    <row r="439" spans="1:32" ht="14.25" x14ac:dyDescent="0.2">
      <c r="A439" s="15"/>
      <c r="B439" s="16"/>
      <c r="C439" s="16" t="s">
        <v>369</v>
      </c>
      <c r="D439" s="17"/>
      <c r="E439" s="9"/>
      <c r="F439" s="19">
        <f>Source!AL312</f>
        <v>44.59</v>
      </c>
      <c r="G439" s="18" t="str">
        <f>Source!DD312</f>
        <v/>
      </c>
      <c r="H439" s="9">
        <f>Source!AW312</f>
        <v>1</v>
      </c>
      <c r="I439" s="9">
        <f>IF(Source!BC312&lt;&gt; 0, Source!BC312, 1)</f>
        <v>1</v>
      </c>
      <c r="J439" s="20">
        <f>Source!P312</f>
        <v>6956.04</v>
      </c>
      <c r="K439" s="20"/>
    </row>
    <row r="440" spans="1:32" ht="14.25" x14ac:dyDescent="0.2">
      <c r="A440" s="15"/>
      <c r="B440" s="16"/>
      <c r="C440" s="16" t="s">
        <v>363</v>
      </c>
      <c r="D440" s="17" t="s">
        <v>364</v>
      </c>
      <c r="E440" s="9">
        <f>Source!AT312</f>
        <v>80</v>
      </c>
      <c r="F440" s="19"/>
      <c r="G440" s="18"/>
      <c r="H440" s="9"/>
      <c r="I440" s="9"/>
      <c r="J440" s="20">
        <f>SUM(R435:R439)</f>
        <v>1297.92</v>
      </c>
      <c r="K440" s="20"/>
    </row>
    <row r="441" spans="1:32" ht="14.25" x14ac:dyDescent="0.2">
      <c r="A441" s="15"/>
      <c r="B441" s="16"/>
      <c r="C441" s="16" t="s">
        <v>365</v>
      </c>
      <c r="D441" s="17" t="s">
        <v>364</v>
      </c>
      <c r="E441" s="9">
        <f>Source!AU312</f>
        <v>10</v>
      </c>
      <c r="F441" s="19"/>
      <c r="G441" s="18"/>
      <c r="H441" s="9"/>
      <c r="I441" s="9"/>
      <c r="J441" s="20">
        <f>SUM(T435:T440)</f>
        <v>162.24</v>
      </c>
      <c r="K441" s="20"/>
    </row>
    <row r="442" spans="1:32" ht="14.25" x14ac:dyDescent="0.2">
      <c r="A442" s="15"/>
      <c r="B442" s="16"/>
      <c r="C442" s="16" t="s">
        <v>366</v>
      </c>
      <c r="D442" s="17" t="s">
        <v>364</v>
      </c>
      <c r="E442" s="9">
        <f>108</f>
        <v>108</v>
      </c>
      <c r="F442" s="19"/>
      <c r="G442" s="18"/>
      <c r="H442" s="9"/>
      <c r="I442" s="9"/>
      <c r="J442" s="20">
        <f>SUM(V435:V441)</f>
        <v>527.34</v>
      </c>
      <c r="K442" s="20"/>
    </row>
    <row r="443" spans="1:32" ht="14.25" x14ac:dyDescent="0.2">
      <c r="A443" s="15"/>
      <c r="B443" s="16"/>
      <c r="C443" s="16" t="s">
        <v>367</v>
      </c>
      <c r="D443" s="17" t="s">
        <v>368</v>
      </c>
      <c r="E443" s="9">
        <f>Source!AQ312</f>
        <v>0.06</v>
      </c>
      <c r="F443" s="19"/>
      <c r="G443" s="18" t="str">
        <f>Source!DI312</f>
        <v/>
      </c>
      <c r="H443" s="9">
        <f>Source!AV312</f>
        <v>1</v>
      </c>
      <c r="I443" s="9"/>
      <c r="J443" s="20"/>
      <c r="K443" s="20">
        <f>Source!U312</f>
        <v>9.36</v>
      </c>
    </row>
    <row r="444" spans="1:32" ht="15" x14ac:dyDescent="0.25">
      <c r="A444" s="25"/>
      <c r="B444" s="25"/>
      <c r="C444" s="25"/>
      <c r="D444" s="25"/>
      <c r="E444" s="25"/>
      <c r="F444" s="25"/>
      <c r="G444" s="25"/>
      <c r="H444" s="25"/>
      <c r="I444" s="45">
        <f>J436+J437+J439+J440+J441+J442</f>
        <v>13306.86</v>
      </c>
      <c r="J444" s="45"/>
      <c r="K444" s="26">
        <f>IF(Source!I312&lt;&gt;0, ROUND(I444/Source!I312, 2), 0)</f>
        <v>85.3</v>
      </c>
      <c r="P444" s="23">
        <f>I444</f>
        <v>13306.86</v>
      </c>
    </row>
    <row r="446" spans="1:32" ht="15" x14ac:dyDescent="0.25">
      <c r="A446" s="48" t="str">
        <f>CONCATENATE("Итого по разделу: ",IF(Source!G314&lt;&gt;"Новый раздел", Source!G314, ""))</f>
        <v>Итого по разделу: Устройство резинового покрытия на детских площадках - 1099м2</v>
      </c>
      <c r="B446" s="48"/>
      <c r="C446" s="48"/>
      <c r="D446" s="48"/>
      <c r="E446" s="48"/>
      <c r="F446" s="48"/>
      <c r="G446" s="48"/>
      <c r="H446" s="48"/>
      <c r="I446" s="46">
        <f>SUM(P364:P445)</f>
        <v>2027063.2000000004</v>
      </c>
      <c r="J446" s="47"/>
      <c r="K446" s="27"/>
      <c r="AF446" s="28" t="str">
        <f>CONCATENATE("Итого по разделу: ",IF(Source!G314&lt;&gt;"Новый раздел", Source!G314, ""))</f>
        <v>Итого по разделу: Устройство резинового покрытия на детских площадках - 1099м2</v>
      </c>
    </row>
    <row r="449" spans="1:22" ht="16.5" x14ac:dyDescent="0.25">
      <c r="A449" s="49" t="str">
        <f>CONCATENATE("Раздел: ",IF(Source!G343&lt;&gt;"Новый раздел", Source!G343, ""))</f>
        <v>Раздел: Устройство прыжковой ямы и полиуретановой дорожки</v>
      </c>
      <c r="B449" s="49"/>
      <c r="C449" s="49"/>
      <c r="D449" s="49"/>
      <c r="E449" s="49"/>
      <c r="F449" s="49"/>
      <c r="G449" s="49"/>
      <c r="H449" s="49"/>
      <c r="I449" s="49"/>
      <c r="J449" s="49"/>
      <c r="K449" s="49"/>
    </row>
    <row r="450" spans="1:22" ht="57" x14ac:dyDescent="0.2">
      <c r="A450" s="15" t="str">
        <f>Source!E347</f>
        <v>49</v>
      </c>
      <c r="B450" s="16" t="str">
        <f>Source!F347</f>
        <v>2.49-3101-3-1/1</v>
      </c>
      <c r="C450" s="16" t="str">
        <f>Source!G347</f>
        <v>Разработка грунта с погрузкой на автомобили-самосвалы экскаваторами с ковшом вместимостью 0,8 м3, группа грунтов 1-3</v>
      </c>
      <c r="D450" s="17" t="str">
        <f>Source!H347</f>
        <v>100 м3</v>
      </c>
      <c r="E450" s="9">
        <f>Source!I347</f>
        <v>2.8799999999999999E-2</v>
      </c>
      <c r="F450" s="19"/>
      <c r="G450" s="18"/>
      <c r="H450" s="9"/>
      <c r="I450" s="9"/>
      <c r="J450" s="20"/>
      <c r="K450" s="20"/>
      <c r="Q450">
        <f>ROUND((Source!BZ347/100)*ROUND((Source!AF347*Source!AV347)*Source!I347, 2), 2)</f>
        <v>3.16</v>
      </c>
      <c r="R450">
        <f>Source!X347</f>
        <v>3.16</v>
      </c>
      <c r="S450">
        <f>ROUND((Source!CA347/100)*ROUND((Source!AF347*Source!AV347)*Source!I347, 2), 2)</f>
        <v>0.45</v>
      </c>
      <c r="T450">
        <f>Source!Y347</f>
        <v>0.45</v>
      </c>
      <c r="U450">
        <f>ROUND((175/100)*ROUND((Source!AE347*Source!AV347)*Source!I347, 2), 2)</f>
        <v>101.43</v>
      </c>
      <c r="V450">
        <f>ROUND((108/100)*ROUND(Source!CS347*Source!I347, 2), 2)</f>
        <v>62.6</v>
      </c>
    </row>
    <row r="451" spans="1:22" x14ac:dyDescent="0.2">
      <c r="C451" s="21" t="str">
        <f>"Объем: "&amp;Source!I347&amp;"=8*"&amp;"0,36/"&amp;"100"</f>
        <v>Объем: 0,0288=8*0,36/100</v>
      </c>
    </row>
    <row r="452" spans="1:22" ht="14.25" x14ac:dyDescent="0.2">
      <c r="A452" s="15"/>
      <c r="B452" s="16"/>
      <c r="C452" s="16" t="s">
        <v>360</v>
      </c>
      <c r="D452" s="17"/>
      <c r="E452" s="9"/>
      <c r="F452" s="19">
        <f>Source!AO347</f>
        <v>156.61000000000001</v>
      </c>
      <c r="G452" s="18" t="str">
        <f>Source!DG347</f>
        <v/>
      </c>
      <c r="H452" s="9">
        <f>Source!AV347</f>
        <v>1</v>
      </c>
      <c r="I452" s="9">
        <f>IF(Source!BA347&lt;&gt; 0, Source!BA347, 1)</f>
        <v>1</v>
      </c>
      <c r="J452" s="20">
        <f>Source!S347</f>
        <v>4.51</v>
      </c>
      <c r="K452" s="20"/>
    </row>
    <row r="453" spans="1:22" ht="14.25" x14ac:dyDescent="0.2">
      <c r="A453" s="15"/>
      <c r="B453" s="16"/>
      <c r="C453" s="16" t="s">
        <v>361</v>
      </c>
      <c r="D453" s="17"/>
      <c r="E453" s="9"/>
      <c r="F453" s="19">
        <f>Source!AM347</f>
        <v>4943.3</v>
      </c>
      <c r="G453" s="18" t="str">
        <f>Source!DE347</f>
        <v/>
      </c>
      <c r="H453" s="9">
        <f>Source!AV347</f>
        <v>1</v>
      </c>
      <c r="I453" s="9">
        <f>IF(Source!BB347&lt;&gt; 0, Source!BB347, 1)</f>
        <v>1</v>
      </c>
      <c r="J453" s="20">
        <f>Source!Q347</f>
        <v>142.37</v>
      </c>
      <c r="K453" s="20"/>
    </row>
    <row r="454" spans="1:22" ht="14.25" x14ac:dyDescent="0.2">
      <c r="A454" s="15"/>
      <c r="B454" s="16"/>
      <c r="C454" s="16" t="s">
        <v>362</v>
      </c>
      <c r="D454" s="17"/>
      <c r="E454" s="9"/>
      <c r="F454" s="19">
        <f>Source!AN347</f>
        <v>2012.38</v>
      </c>
      <c r="G454" s="18" t="str">
        <f>Source!DF347</f>
        <v/>
      </c>
      <c r="H454" s="9">
        <f>Source!AV347</f>
        <v>1</v>
      </c>
      <c r="I454" s="9">
        <f>IF(Source!BS347&lt;&gt; 0, Source!BS347, 1)</f>
        <v>1</v>
      </c>
      <c r="J454" s="22">
        <f>Source!R347</f>
        <v>57.96</v>
      </c>
      <c r="K454" s="20"/>
    </row>
    <row r="455" spans="1:22" ht="14.25" x14ac:dyDescent="0.2">
      <c r="A455" s="15"/>
      <c r="B455" s="16"/>
      <c r="C455" s="16" t="s">
        <v>363</v>
      </c>
      <c r="D455" s="17" t="s">
        <v>364</v>
      </c>
      <c r="E455" s="9">
        <f>Source!AT347</f>
        <v>70</v>
      </c>
      <c r="F455" s="19"/>
      <c r="G455" s="18"/>
      <c r="H455" s="9"/>
      <c r="I455" s="9"/>
      <c r="J455" s="20">
        <f>SUM(R450:R454)</f>
        <v>3.16</v>
      </c>
      <c r="K455" s="20"/>
    </row>
    <row r="456" spans="1:22" ht="14.25" x14ac:dyDescent="0.2">
      <c r="A456" s="15"/>
      <c r="B456" s="16"/>
      <c r="C456" s="16" t="s">
        <v>365</v>
      </c>
      <c r="D456" s="17" t="s">
        <v>364</v>
      </c>
      <c r="E456" s="9">
        <f>Source!AU347</f>
        <v>10</v>
      </c>
      <c r="F456" s="19"/>
      <c r="G456" s="18"/>
      <c r="H456" s="9"/>
      <c r="I456" s="9"/>
      <c r="J456" s="20">
        <f>SUM(T450:T455)</f>
        <v>0.45</v>
      </c>
      <c r="K456" s="20"/>
    </row>
    <row r="457" spans="1:22" ht="14.25" x14ac:dyDescent="0.2">
      <c r="A457" s="15"/>
      <c r="B457" s="16"/>
      <c r="C457" s="16" t="s">
        <v>366</v>
      </c>
      <c r="D457" s="17" t="s">
        <v>364</v>
      </c>
      <c r="E457" s="9">
        <f>108</f>
        <v>108</v>
      </c>
      <c r="F457" s="19"/>
      <c r="G457" s="18"/>
      <c r="H457" s="9"/>
      <c r="I457" s="9"/>
      <c r="J457" s="20">
        <f>SUM(V450:V456)</f>
        <v>62.6</v>
      </c>
      <c r="K457" s="20"/>
    </row>
    <row r="458" spans="1:22" ht="14.25" x14ac:dyDescent="0.2">
      <c r="A458" s="15"/>
      <c r="B458" s="16"/>
      <c r="C458" s="16" t="s">
        <v>367</v>
      </c>
      <c r="D458" s="17" t="s">
        <v>368</v>
      </c>
      <c r="E458" s="9">
        <f>Source!AQ347</f>
        <v>1.05</v>
      </c>
      <c r="F458" s="19"/>
      <c r="G458" s="18" t="str">
        <f>Source!DI347</f>
        <v/>
      </c>
      <c r="H458" s="9">
        <f>Source!AV347</f>
        <v>1</v>
      </c>
      <c r="I458" s="9"/>
      <c r="J458" s="20"/>
      <c r="K458" s="20">
        <f>Source!U347</f>
        <v>3.024E-2</v>
      </c>
    </row>
    <row r="459" spans="1:22" ht="15" x14ac:dyDescent="0.25">
      <c r="A459" s="25"/>
      <c r="B459" s="25"/>
      <c r="C459" s="25"/>
      <c r="D459" s="25"/>
      <c r="E459" s="25"/>
      <c r="F459" s="25"/>
      <c r="G459" s="25"/>
      <c r="H459" s="25"/>
      <c r="I459" s="45">
        <f>J452+J453+J455+J456+J457</f>
        <v>213.08999999999997</v>
      </c>
      <c r="J459" s="45"/>
      <c r="K459" s="26">
        <f>IF(Source!I347&lt;&gt;0, ROUND(I459/Source!I347, 2), 0)</f>
        <v>7398.96</v>
      </c>
      <c r="P459" s="23">
        <f>I459</f>
        <v>213.08999999999997</v>
      </c>
    </row>
    <row r="460" spans="1:22" ht="42.75" x14ac:dyDescent="0.2">
      <c r="A460" s="15" t="str">
        <f>Source!E348</f>
        <v>50</v>
      </c>
      <c r="B460" s="16" t="str">
        <f>Source!F348</f>
        <v>2.49-3401-1-1/1</v>
      </c>
      <c r="C460" s="16" t="str">
        <f>Source!G348</f>
        <v>Перевозка грунта автосамосвалами грузоподъемностью до 10 т на расстояние 1 км</v>
      </c>
      <c r="D460" s="17" t="str">
        <f>Source!H348</f>
        <v>м3</v>
      </c>
      <c r="E460" s="9">
        <f>Source!I348</f>
        <v>2.8799800000000002</v>
      </c>
      <c r="F460" s="19"/>
      <c r="G460" s="18"/>
      <c r="H460" s="9"/>
      <c r="I460" s="9"/>
      <c r="J460" s="20"/>
      <c r="K460" s="20"/>
      <c r="Q460">
        <f>ROUND((Source!BZ348/100)*ROUND((Source!AF348*Source!AV348)*Source!I348, 2), 2)</f>
        <v>0</v>
      </c>
      <c r="R460">
        <f>Source!X348</f>
        <v>0</v>
      </c>
      <c r="S460">
        <f>ROUND((Source!CA348/100)*ROUND((Source!AF348*Source!AV348)*Source!I348, 2), 2)</f>
        <v>0</v>
      </c>
      <c r="T460">
        <f>Source!Y348</f>
        <v>0</v>
      </c>
      <c r="U460">
        <f>ROUND((175/100)*ROUND((Source!AE348*Source!AV348)*Source!I348, 2), 2)</f>
        <v>210.77</v>
      </c>
      <c r="V460">
        <f>ROUND((108/100)*ROUND(Source!CS348*Source!I348, 2), 2)</f>
        <v>130.08000000000001</v>
      </c>
    </row>
    <row r="461" spans="1:22" ht="14.25" x14ac:dyDescent="0.2">
      <c r="A461" s="15"/>
      <c r="B461" s="16"/>
      <c r="C461" s="16" t="s">
        <v>361</v>
      </c>
      <c r="D461" s="17"/>
      <c r="E461" s="9"/>
      <c r="F461" s="19">
        <f>Source!AM348</f>
        <v>56.28</v>
      </c>
      <c r="G461" s="18" t="str">
        <f>Source!DE348</f>
        <v/>
      </c>
      <c r="H461" s="9">
        <f>Source!AV348</f>
        <v>1</v>
      </c>
      <c r="I461" s="9">
        <f>IF(Source!BB348&lt;&gt; 0, Source!BB348, 1)</f>
        <v>1</v>
      </c>
      <c r="J461" s="20">
        <f>Source!Q348</f>
        <v>162.09</v>
      </c>
      <c r="K461" s="20"/>
    </row>
    <row r="462" spans="1:22" ht="14.25" x14ac:dyDescent="0.2">
      <c r="A462" s="15"/>
      <c r="B462" s="16"/>
      <c r="C462" s="16" t="s">
        <v>362</v>
      </c>
      <c r="D462" s="17"/>
      <c r="E462" s="9"/>
      <c r="F462" s="19">
        <f>Source!AN348</f>
        <v>41.82</v>
      </c>
      <c r="G462" s="18" t="str">
        <f>Source!DF348</f>
        <v/>
      </c>
      <c r="H462" s="9">
        <f>Source!AV348</f>
        <v>1</v>
      </c>
      <c r="I462" s="9">
        <f>IF(Source!BS348&lt;&gt; 0, Source!BS348, 1)</f>
        <v>1</v>
      </c>
      <c r="J462" s="22">
        <f>Source!R348</f>
        <v>120.44</v>
      </c>
      <c r="K462" s="20"/>
    </row>
    <row r="463" spans="1:22" ht="15" x14ac:dyDescent="0.25">
      <c r="A463" s="25"/>
      <c r="B463" s="25"/>
      <c r="C463" s="25"/>
      <c r="D463" s="25"/>
      <c r="E463" s="25"/>
      <c r="F463" s="25"/>
      <c r="G463" s="25"/>
      <c r="H463" s="25"/>
      <c r="I463" s="45">
        <f>J461</f>
        <v>162.09</v>
      </c>
      <c r="J463" s="45"/>
      <c r="K463" s="26">
        <f>IF(Source!I348&lt;&gt;0, ROUND(I463/Source!I348, 2), 0)</f>
        <v>56.28</v>
      </c>
      <c r="P463" s="23">
        <f>I463</f>
        <v>162.09</v>
      </c>
    </row>
    <row r="464" spans="1:22" ht="57" x14ac:dyDescent="0.2">
      <c r="A464" s="15" t="str">
        <f>Source!E349</f>
        <v>51</v>
      </c>
      <c r="B464" s="16" t="str">
        <f>Source!F349</f>
        <v>2.49-3401-1-2/1</v>
      </c>
      <c r="C464" s="16" t="str">
        <f>Source!G349</f>
        <v>Перевозка грунта автосамосвалами грузоподъемностью до 10 т - добавляется на каждый последующий 1 км до 100 км (к поз. 49-3401-1-1)</v>
      </c>
      <c r="D464" s="17" t="str">
        <f>Source!H349</f>
        <v>м3</v>
      </c>
      <c r="E464" s="9">
        <f>Source!I349</f>
        <v>2.8799800000000002</v>
      </c>
      <c r="F464" s="19"/>
      <c r="G464" s="18"/>
      <c r="H464" s="9"/>
      <c r="I464" s="9"/>
      <c r="J464" s="20"/>
      <c r="K464" s="20"/>
      <c r="Q464">
        <f>ROUND((Source!BZ349/100)*ROUND((Source!AF349*Source!AV349)*Source!I349, 2), 2)</f>
        <v>0</v>
      </c>
      <c r="R464">
        <f>Source!X349</f>
        <v>0</v>
      </c>
      <c r="S464">
        <f>ROUND((Source!CA349/100)*ROUND((Source!AF349*Source!AV349)*Source!I349, 2), 2)</f>
        <v>0</v>
      </c>
      <c r="T464">
        <f>Source!Y349</f>
        <v>0</v>
      </c>
      <c r="U464">
        <f>ROUND((175/100)*ROUND((Source!AE349*Source!AV349)*Source!I349, 2), 2)</f>
        <v>1767.71</v>
      </c>
      <c r="V464">
        <f>ROUND((108/100)*ROUND(Source!CS349*Source!I349, 2), 2)</f>
        <v>1090.93</v>
      </c>
    </row>
    <row r="465" spans="1:22" ht="14.25" x14ac:dyDescent="0.2">
      <c r="A465" s="15"/>
      <c r="B465" s="16"/>
      <c r="C465" s="16" t="s">
        <v>361</v>
      </c>
      <c r="D465" s="17"/>
      <c r="E465" s="9"/>
      <c r="F465" s="19">
        <f>Source!AM349</f>
        <v>18.16</v>
      </c>
      <c r="G465" s="18" t="str">
        <f>Source!DE349</f>
        <v>*26</v>
      </c>
      <c r="H465" s="9">
        <f>Source!AV349</f>
        <v>1</v>
      </c>
      <c r="I465" s="9">
        <f>IF(Source!BB349&lt;&gt; 0, Source!BB349, 1)</f>
        <v>1</v>
      </c>
      <c r="J465" s="20">
        <f>Source!Q349</f>
        <v>1359.81</v>
      </c>
      <c r="K465" s="20"/>
    </row>
    <row r="466" spans="1:22" ht="14.25" x14ac:dyDescent="0.2">
      <c r="A466" s="15"/>
      <c r="B466" s="16"/>
      <c r="C466" s="16" t="s">
        <v>362</v>
      </c>
      <c r="D466" s="17"/>
      <c r="E466" s="9"/>
      <c r="F466" s="19">
        <f>Source!AN349</f>
        <v>13.49</v>
      </c>
      <c r="G466" s="18" t="str">
        <f>Source!DF349</f>
        <v>*26</v>
      </c>
      <c r="H466" s="9">
        <f>Source!AV349</f>
        <v>1</v>
      </c>
      <c r="I466" s="9">
        <f>IF(Source!BS349&lt;&gt; 0, Source!BS349, 1)</f>
        <v>1</v>
      </c>
      <c r="J466" s="22">
        <f>Source!R349</f>
        <v>1010.12</v>
      </c>
      <c r="K466" s="20"/>
    </row>
    <row r="467" spans="1:22" ht="15" x14ac:dyDescent="0.25">
      <c r="A467" s="25"/>
      <c r="B467" s="25"/>
      <c r="C467" s="25"/>
      <c r="D467" s="25"/>
      <c r="E467" s="25"/>
      <c r="F467" s="25"/>
      <c r="G467" s="25"/>
      <c r="H467" s="25"/>
      <c r="I467" s="45">
        <f>J465</f>
        <v>1359.81</v>
      </c>
      <c r="J467" s="45"/>
      <c r="K467" s="26">
        <f>IF(Source!I349&lt;&gt;0, ROUND(I467/Source!I349, 2), 0)</f>
        <v>472.16</v>
      </c>
      <c r="P467" s="23">
        <f>I467</f>
        <v>1359.81</v>
      </c>
    </row>
    <row r="468" spans="1:22" ht="42.75" x14ac:dyDescent="0.2">
      <c r="A468" s="15" t="str">
        <f>Source!E350</f>
        <v>52</v>
      </c>
      <c r="B468" s="16" t="str">
        <f>Source!F350</f>
        <v>2.1-3303-1-1/1</v>
      </c>
      <c r="C468" s="16" t="str">
        <f>Source!G350</f>
        <v>Устройство подстилающих и выравнивающих слоев оснований из песка</v>
      </c>
      <c r="D468" s="17" t="str">
        <f>Source!H350</f>
        <v>100 м3</v>
      </c>
      <c r="E468" s="9">
        <f>Source!I350</f>
        <v>8.0000000000000002E-3</v>
      </c>
      <c r="F468" s="19"/>
      <c r="G468" s="18"/>
      <c r="H468" s="9"/>
      <c r="I468" s="9"/>
      <c r="J468" s="20"/>
      <c r="K468" s="20"/>
      <c r="Q468">
        <f>ROUND((Source!BZ350/100)*ROUND((Source!AF350*Source!AV350)*Source!I350, 2), 2)</f>
        <v>14.32</v>
      </c>
      <c r="R468">
        <f>Source!X350</f>
        <v>14.32</v>
      </c>
      <c r="S468">
        <f>ROUND((Source!CA350/100)*ROUND((Source!AF350*Source!AV350)*Source!I350, 2), 2)</f>
        <v>2.0499999999999998</v>
      </c>
      <c r="T468">
        <f>Source!Y350</f>
        <v>2.0499999999999998</v>
      </c>
      <c r="U468">
        <f>ROUND((175/100)*ROUND((Source!AE350*Source!AV350)*Source!I350, 2), 2)</f>
        <v>37.380000000000003</v>
      </c>
      <c r="V468">
        <f>ROUND((108/100)*ROUND(Source!CS350*Source!I350, 2), 2)</f>
        <v>23.07</v>
      </c>
    </row>
    <row r="469" spans="1:22" x14ac:dyDescent="0.2">
      <c r="C469" s="21" t="str">
        <f>"Объем: "&amp;Source!I350&amp;"=8*"&amp;"0,1/"&amp;"100"</f>
        <v>Объем: 0,008=8*0,1/100</v>
      </c>
    </row>
    <row r="470" spans="1:22" ht="14.25" x14ac:dyDescent="0.2">
      <c r="A470" s="15"/>
      <c r="B470" s="16"/>
      <c r="C470" s="16" t="s">
        <v>360</v>
      </c>
      <c r="D470" s="17"/>
      <c r="E470" s="9"/>
      <c r="F470" s="19">
        <f>Source!AO350</f>
        <v>2557.69</v>
      </c>
      <c r="G470" s="18" t="str">
        <f>Source!DG350</f>
        <v/>
      </c>
      <c r="H470" s="9">
        <f>Source!AV350</f>
        <v>1</v>
      </c>
      <c r="I470" s="9">
        <f>IF(Source!BA350&lt;&gt; 0, Source!BA350, 1)</f>
        <v>1</v>
      </c>
      <c r="J470" s="20">
        <f>Source!S350</f>
        <v>20.46</v>
      </c>
      <c r="K470" s="20"/>
    </row>
    <row r="471" spans="1:22" ht="14.25" x14ac:dyDescent="0.2">
      <c r="A471" s="15"/>
      <c r="B471" s="16"/>
      <c r="C471" s="16" t="s">
        <v>361</v>
      </c>
      <c r="D471" s="17"/>
      <c r="E471" s="9"/>
      <c r="F471" s="19">
        <f>Source!AM350</f>
        <v>7173.55</v>
      </c>
      <c r="G471" s="18" t="str">
        <f>Source!DE350</f>
        <v/>
      </c>
      <c r="H471" s="9">
        <f>Source!AV350</f>
        <v>1</v>
      </c>
      <c r="I471" s="9">
        <f>IF(Source!BB350&lt;&gt; 0, Source!BB350, 1)</f>
        <v>1</v>
      </c>
      <c r="J471" s="20">
        <f>Source!Q350</f>
        <v>57.39</v>
      </c>
      <c r="K471" s="20"/>
    </row>
    <row r="472" spans="1:22" ht="14.25" x14ac:dyDescent="0.2">
      <c r="A472" s="15"/>
      <c r="B472" s="16"/>
      <c r="C472" s="16" t="s">
        <v>362</v>
      </c>
      <c r="D472" s="17"/>
      <c r="E472" s="9"/>
      <c r="F472" s="19">
        <f>Source!AN350</f>
        <v>2669.64</v>
      </c>
      <c r="G472" s="18" t="str">
        <f>Source!DF350</f>
        <v/>
      </c>
      <c r="H472" s="9">
        <f>Source!AV350</f>
        <v>1</v>
      </c>
      <c r="I472" s="9">
        <f>IF(Source!BS350&lt;&gt; 0, Source!BS350, 1)</f>
        <v>1</v>
      </c>
      <c r="J472" s="22">
        <f>Source!R350</f>
        <v>21.36</v>
      </c>
      <c r="K472" s="20"/>
    </row>
    <row r="473" spans="1:22" ht="14.25" x14ac:dyDescent="0.2">
      <c r="A473" s="15"/>
      <c r="B473" s="16"/>
      <c r="C473" s="16" t="s">
        <v>369</v>
      </c>
      <c r="D473" s="17"/>
      <c r="E473" s="9"/>
      <c r="F473" s="19">
        <f>Source!AL350</f>
        <v>61659.15</v>
      </c>
      <c r="G473" s="18" t="str">
        <f>Source!DD350</f>
        <v/>
      </c>
      <c r="H473" s="9">
        <f>Source!AW350</f>
        <v>1</v>
      </c>
      <c r="I473" s="9">
        <f>IF(Source!BC350&lt;&gt; 0, Source!BC350, 1)</f>
        <v>1</v>
      </c>
      <c r="J473" s="20">
        <f>Source!P350</f>
        <v>493.27</v>
      </c>
      <c r="K473" s="20"/>
    </row>
    <row r="474" spans="1:22" ht="14.25" x14ac:dyDescent="0.2">
      <c r="A474" s="15"/>
      <c r="B474" s="16"/>
      <c r="C474" s="16" t="s">
        <v>363</v>
      </c>
      <c r="D474" s="17" t="s">
        <v>364</v>
      </c>
      <c r="E474" s="9">
        <f>Source!AT350</f>
        <v>70</v>
      </c>
      <c r="F474" s="19"/>
      <c r="G474" s="18"/>
      <c r="H474" s="9"/>
      <c r="I474" s="9"/>
      <c r="J474" s="20">
        <f>SUM(R468:R473)</f>
        <v>14.32</v>
      </c>
      <c r="K474" s="20"/>
    </row>
    <row r="475" spans="1:22" ht="14.25" x14ac:dyDescent="0.2">
      <c r="A475" s="15"/>
      <c r="B475" s="16"/>
      <c r="C475" s="16" t="s">
        <v>365</v>
      </c>
      <c r="D475" s="17" t="s">
        <v>364</v>
      </c>
      <c r="E475" s="9">
        <f>Source!AU350</f>
        <v>10</v>
      </c>
      <c r="F475" s="19"/>
      <c r="G475" s="18"/>
      <c r="H475" s="9"/>
      <c r="I475" s="9"/>
      <c r="J475" s="20">
        <f>SUM(T468:T474)</f>
        <v>2.0499999999999998</v>
      </c>
      <c r="K475" s="20"/>
    </row>
    <row r="476" spans="1:22" ht="14.25" x14ac:dyDescent="0.2">
      <c r="A476" s="15"/>
      <c r="B476" s="16"/>
      <c r="C476" s="16" t="s">
        <v>366</v>
      </c>
      <c r="D476" s="17" t="s">
        <v>364</v>
      </c>
      <c r="E476" s="9">
        <f>108</f>
        <v>108</v>
      </c>
      <c r="F476" s="19"/>
      <c r="G476" s="18"/>
      <c r="H476" s="9"/>
      <c r="I476" s="9"/>
      <c r="J476" s="20">
        <f>SUM(V468:V475)</f>
        <v>23.07</v>
      </c>
      <c r="K476" s="20"/>
    </row>
    <row r="477" spans="1:22" ht="14.25" x14ac:dyDescent="0.2">
      <c r="A477" s="15"/>
      <c r="B477" s="16"/>
      <c r="C477" s="16" t="s">
        <v>367</v>
      </c>
      <c r="D477" s="17" t="s">
        <v>368</v>
      </c>
      <c r="E477" s="9">
        <f>Source!AQ350</f>
        <v>16.559999999999999</v>
      </c>
      <c r="F477" s="19"/>
      <c r="G477" s="18" t="str">
        <f>Source!DI350</f>
        <v/>
      </c>
      <c r="H477" s="9">
        <f>Source!AV350</f>
        <v>1</v>
      </c>
      <c r="I477" s="9"/>
      <c r="J477" s="20"/>
      <c r="K477" s="20">
        <f>Source!U350</f>
        <v>0.13247999999999999</v>
      </c>
    </row>
    <row r="478" spans="1:22" ht="15" x14ac:dyDescent="0.25">
      <c r="A478" s="25"/>
      <c r="B478" s="25"/>
      <c r="C478" s="25"/>
      <c r="D478" s="25"/>
      <c r="E478" s="25"/>
      <c r="F478" s="25"/>
      <c r="G478" s="25"/>
      <c r="H478" s="25"/>
      <c r="I478" s="45">
        <f>J470+J471+J473+J474+J475+J476</f>
        <v>610.56000000000006</v>
      </c>
      <c r="J478" s="45"/>
      <c r="K478" s="26">
        <f>IF(Source!I350&lt;&gt;0, ROUND(I478/Source!I350, 2), 0)</f>
        <v>76320</v>
      </c>
      <c r="P478" s="23">
        <f>I478</f>
        <v>610.56000000000006</v>
      </c>
    </row>
    <row r="479" spans="1:22" ht="42.75" x14ac:dyDescent="0.2">
      <c r="A479" s="15" t="str">
        <f>Source!E351</f>
        <v>53</v>
      </c>
      <c r="B479" s="16" t="str">
        <f>Source!F351</f>
        <v>2.1-3303-1-2/1</v>
      </c>
      <c r="C479" s="16" t="str">
        <f>Source!G351</f>
        <v>Устройство подстилающих и выравнивающих слоев оснований из щебня</v>
      </c>
      <c r="D479" s="17" t="str">
        <f>Source!H351</f>
        <v>100 м3</v>
      </c>
      <c r="E479" s="9">
        <f>Source!I351</f>
        <v>8.0000000000000002E-3</v>
      </c>
      <c r="F479" s="19"/>
      <c r="G479" s="18"/>
      <c r="H479" s="9"/>
      <c r="I479" s="9"/>
      <c r="J479" s="20"/>
      <c r="K479" s="20"/>
      <c r="Q479">
        <f>ROUND((Source!BZ351/100)*ROUND((Source!AF351*Source!AV351)*Source!I351, 2), 2)</f>
        <v>21.48</v>
      </c>
      <c r="R479">
        <f>Source!X351</f>
        <v>21.48</v>
      </c>
      <c r="S479">
        <f>ROUND((Source!CA351/100)*ROUND((Source!AF351*Source!AV351)*Source!I351, 2), 2)</f>
        <v>3.07</v>
      </c>
      <c r="T479">
        <f>Source!Y351</f>
        <v>3.07</v>
      </c>
      <c r="U479">
        <f>ROUND((175/100)*ROUND((Source!AE351*Source!AV351)*Source!I351, 2), 2)</f>
        <v>222.51</v>
      </c>
      <c r="V479">
        <f>ROUND((108/100)*ROUND(Source!CS351*Source!I351, 2), 2)</f>
        <v>137.32</v>
      </c>
    </row>
    <row r="480" spans="1:22" ht="14.25" x14ac:dyDescent="0.2">
      <c r="A480" s="15"/>
      <c r="B480" s="16"/>
      <c r="C480" s="16" t="s">
        <v>360</v>
      </c>
      <c r="D480" s="17"/>
      <c r="E480" s="9"/>
      <c r="F480" s="19">
        <f>Source!AO351</f>
        <v>3836.54</v>
      </c>
      <c r="G480" s="18" t="str">
        <f>Source!DG351</f>
        <v/>
      </c>
      <c r="H480" s="9">
        <f>Source!AV351</f>
        <v>1</v>
      </c>
      <c r="I480" s="9">
        <f>IF(Source!BA351&lt;&gt; 0, Source!BA351, 1)</f>
        <v>1</v>
      </c>
      <c r="J480" s="20">
        <f>Source!S351</f>
        <v>30.69</v>
      </c>
      <c r="K480" s="20"/>
    </row>
    <row r="481" spans="1:22" ht="14.25" x14ac:dyDescent="0.2">
      <c r="A481" s="15"/>
      <c r="B481" s="16"/>
      <c r="C481" s="16" t="s">
        <v>361</v>
      </c>
      <c r="D481" s="17"/>
      <c r="E481" s="9"/>
      <c r="F481" s="19">
        <f>Source!AM351</f>
        <v>43302.76</v>
      </c>
      <c r="G481" s="18" t="str">
        <f>Source!DE351</f>
        <v/>
      </c>
      <c r="H481" s="9">
        <f>Source!AV351</f>
        <v>1</v>
      </c>
      <c r="I481" s="9">
        <f>IF(Source!BB351&lt;&gt; 0, Source!BB351, 1)</f>
        <v>1</v>
      </c>
      <c r="J481" s="20">
        <f>Source!Q351</f>
        <v>346.42</v>
      </c>
      <c r="K481" s="20"/>
    </row>
    <row r="482" spans="1:22" ht="14.25" x14ac:dyDescent="0.2">
      <c r="A482" s="15"/>
      <c r="B482" s="16"/>
      <c r="C482" s="16" t="s">
        <v>362</v>
      </c>
      <c r="D482" s="17"/>
      <c r="E482" s="9"/>
      <c r="F482" s="19">
        <f>Source!AN351</f>
        <v>15894.37</v>
      </c>
      <c r="G482" s="18" t="str">
        <f>Source!DF351</f>
        <v/>
      </c>
      <c r="H482" s="9">
        <f>Source!AV351</f>
        <v>1</v>
      </c>
      <c r="I482" s="9">
        <f>IF(Source!BS351&lt;&gt; 0, Source!BS351, 1)</f>
        <v>1</v>
      </c>
      <c r="J482" s="22">
        <f>Source!R351</f>
        <v>127.15</v>
      </c>
      <c r="K482" s="20"/>
    </row>
    <row r="483" spans="1:22" ht="14.25" x14ac:dyDescent="0.2">
      <c r="A483" s="15"/>
      <c r="B483" s="16"/>
      <c r="C483" s="16" t="s">
        <v>369</v>
      </c>
      <c r="D483" s="17"/>
      <c r="E483" s="9"/>
      <c r="F483" s="19">
        <f>Source!AL351</f>
        <v>240984.87</v>
      </c>
      <c r="G483" s="18" t="str">
        <f>Source!DD351</f>
        <v/>
      </c>
      <c r="H483" s="9">
        <f>Source!AW351</f>
        <v>1</v>
      </c>
      <c r="I483" s="9">
        <f>IF(Source!BC351&lt;&gt; 0, Source!BC351, 1)</f>
        <v>1</v>
      </c>
      <c r="J483" s="20">
        <f>Source!P351</f>
        <v>1927.88</v>
      </c>
      <c r="K483" s="20"/>
    </row>
    <row r="484" spans="1:22" ht="14.25" x14ac:dyDescent="0.2">
      <c r="A484" s="15"/>
      <c r="B484" s="16"/>
      <c r="C484" s="16" t="s">
        <v>363</v>
      </c>
      <c r="D484" s="17" t="s">
        <v>364</v>
      </c>
      <c r="E484" s="9">
        <f>Source!AT351</f>
        <v>70</v>
      </c>
      <c r="F484" s="19"/>
      <c r="G484" s="18"/>
      <c r="H484" s="9"/>
      <c r="I484" s="9"/>
      <c r="J484" s="20">
        <f>SUM(R479:R483)</f>
        <v>21.48</v>
      </c>
      <c r="K484" s="20"/>
    </row>
    <row r="485" spans="1:22" ht="14.25" x14ac:dyDescent="0.2">
      <c r="A485" s="15"/>
      <c r="B485" s="16"/>
      <c r="C485" s="16" t="s">
        <v>365</v>
      </c>
      <c r="D485" s="17" t="s">
        <v>364</v>
      </c>
      <c r="E485" s="9">
        <f>Source!AU351</f>
        <v>10</v>
      </c>
      <c r="F485" s="19"/>
      <c r="G485" s="18"/>
      <c r="H485" s="9"/>
      <c r="I485" s="9"/>
      <c r="J485" s="20">
        <f>SUM(T479:T484)</f>
        <v>3.07</v>
      </c>
      <c r="K485" s="20"/>
    </row>
    <row r="486" spans="1:22" ht="14.25" x14ac:dyDescent="0.2">
      <c r="A486" s="15"/>
      <c r="B486" s="16"/>
      <c r="C486" s="16" t="s">
        <v>366</v>
      </c>
      <c r="D486" s="17" t="s">
        <v>364</v>
      </c>
      <c r="E486" s="9">
        <f>108</f>
        <v>108</v>
      </c>
      <c r="F486" s="19"/>
      <c r="G486" s="18"/>
      <c r="H486" s="9"/>
      <c r="I486" s="9"/>
      <c r="J486" s="20">
        <f>SUM(V479:V485)</f>
        <v>137.32</v>
      </c>
      <c r="K486" s="20"/>
    </row>
    <row r="487" spans="1:22" ht="14.25" x14ac:dyDescent="0.2">
      <c r="A487" s="15"/>
      <c r="B487" s="16"/>
      <c r="C487" s="16" t="s">
        <v>367</v>
      </c>
      <c r="D487" s="17" t="s">
        <v>368</v>
      </c>
      <c r="E487" s="9">
        <f>Source!AQ351</f>
        <v>24.84</v>
      </c>
      <c r="F487" s="19"/>
      <c r="G487" s="18" t="str">
        <f>Source!DI351</f>
        <v/>
      </c>
      <c r="H487" s="9">
        <f>Source!AV351</f>
        <v>1</v>
      </c>
      <c r="I487" s="9"/>
      <c r="J487" s="20"/>
      <c r="K487" s="20">
        <f>Source!U351</f>
        <v>0.19872000000000001</v>
      </c>
    </row>
    <row r="488" spans="1:22" ht="15" x14ac:dyDescent="0.25">
      <c r="A488" s="25"/>
      <c r="B488" s="25"/>
      <c r="C488" s="25"/>
      <c r="D488" s="25"/>
      <c r="E488" s="25"/>
      <c r="F488" s="25"/>
      <c r="G488" s="25"/>
      <c r="H488" s="25"/>
      <c r="I488" s="45">
        <f>J480+J481+J483+J484+J485+J486</f>
        <v>2466.8600000000006</v>
      </c>
      <c r="J488" s="45"/>
      <c r="K488" s="26">
        <f>IF(Source!I351&lt;&gt;0, ROUND(I488/Source!I351, 2), 0)</f>
        <v>308357.5</v>
      </c>
      <c r="P488" s="23">
        <f>I488</f>
        <v>2466.8600000000006</v>
      </c>
    </row>
    <row r="489" spans="1:22" ht="42.75" x14ac:dyDescent="0.2">
      <c r="A489" s="15" t="str">
        <f>Source!E352</f>
        <v>54</v>
      </c>
      <c r="B489" s="16" t="str">
        <f>Source!F352</f>
        <v>2.1-3103-18-1/1</v>
      </c>
      <c r="C489" s="16" t="str">
        <f>Source!G352</f>
        <v>Устройство покрытий из асфальтобетонных смесей вручную, толщина 4 см (до 5см)</v>
      </c>
      <c r="D489" s="17" t="str">
        <f>Source!H352</f>
        <v>100 м2</v>
      </c>
      <c r="E489" s="9">
        <f>Source!I352</f>
        <v>0.08</v>
      </c>
      <c r="F489" s="19"/>
      <c r="G489" s="18"/>
      <c r="H489" s="9"/>
      <c r="I489" s="9"/>
      <c r="J489" s="20"/>
      <c r="K489" s="20"/>
      <c r="Q489">
        <f>ROUND((Source!BZ352/100)*ROUND((Source!AF352*Source!AV352)*Source!I352, 2), 2)</f>
        <v>144.5</v>
      </c>
      <c r="R489">
        <f>Source!X352</f>
        <v>144.5</v>
      </c>
      <c r="S489">
        <f>ROUND((Source!CA352/100)*ROUND((Source!AF352*Source!AV352)*Source!I352, 2), 2)</f>
        <v>20.64</v>
      </c>
      <c r="T489">
        <f>Source!Y352</f>
        <v>20.64</v>
      </c>
      <c r="U489">
        <f>ROUND((175/100)*ROUND((Source!AE352*Source!AV352)*Source!I352, 2), 2)</f>
        <v>100.21</v>
      </c>
      <c r="V489">
        <f>ROUND((108/100)*ROUND(Source!CS352*Source!I352, 2), 2)</f>
        <v>61.84</v>
      </c>
    </row>
    <row r="490" spans="1:22" x14ac:dyDescent="0.2">
      <c r="C490" s="21" t="str">
        <f>"Объем: "&amp;Source!I352&amp;"=8/"&amp;"100"</f>
        <v>Объем: 0,08=8/100</v>
      </c>
    </row>
    <row r="491" spans="1:22" ht="14.25" x14ac:dyDescent="0.2">
      <c r="A491" s="15"/>
      <c r="B491" s="16"/>
      <c r="C491" s="16" t="s">
        <v>360</v>
      </c>
      <c r="D491" s="17"/>
      <c r="E491" s="9"/>
      <c r="F491" s="19">
        <f>Source!AO352</f>
        <v>2580.34</v>
      </c>
      <c r="G491" s="18" t="str">
        <f>Source!DG352</f>
        <v/>
      </c>
      <c r="H491" s="9">
        <f>Source!AV352</f>
        <v>1</v>
      </c>
      <c r="I491" s="9">
        <f>IF(Source!BA352&lt;&gt; 0, Source!BA352, 1)</f>
        <v>1</v>
      </c>
      <c r="J491" s="20">
        <f>Source!S352</f>
        <v>206.43</v>
      </c>
      <c r="K491" s="20"/>
    </row>
    <row r="492" spans="1:22" ht="14.25" x14ac:dyDescent="0.2">
      <c r="A492" s="15"/>
      <c r="B492" s="16"/>
      <c r="C492" s="16" t="s">
        <v>361</v>
      </c>
      <c r="D492" s="17"/>
      <c r="E492" s="9"/>
      <c r="F492" s="19">
        <f>Source!AM352</f>
        <v>1235.5</v>
      </c>
      <c r="G492" s="18" t="str">
        <f>Source!DE352</f>
        <v/>
      </c>
      <c r="H492" s="9">
        <f>Source!AV352</f>
        <v>1</v>
      </c>
      <c r="I492" s="9">
        <f>IF(Source!BB352&lt;&gt; 0, Source!BB352, 1)</f>
        <v>1</v>
      </c>
      <c r="J492" s="20">
        <f>Source!Q352</f>
        <v>98.84</v>
      </c>
      <c r="K492" s="20"/>
    </row>
    <row r="493" spans="1:22" ht="14.25" x14ac:dyDescent="0.2">
      <c r="A493" s="15"/>
      <c r="B493" s="16"/>
      <c r="C493" s="16" t="s">
        <v>362</v>
      </c>
      <c r="D493" s="17"/>
      <c r="E493" s="9"/>
      <c r="F493" s="19">
        <f>Source!AN352</f>
        <v>715.73</v>
      </c>
      <c r="G493" s="18" t="str">
        <f>Source!DF352</f>
        <v/>
      </c>
      <c r="H493" s="9">
        <f>Source!AV352</f>
        <v>1</v>
      </c>
      <c r="I493" s="9">
        <f>IF(Source!BS352&lt;&gt; 0, Source!BS352, 1)</f>
        <v>1</v>
      </c>
      <c r="J493" s="22">
        <f>Source!R352</f>
        <v>57.26</v>
      </c>
      <c r="K493" s="20"/>
    </row>
    <row r="494" spans="1:22" ht="14.25" x14ac:dyDescent="0.2">
      <c r="A494" s="15"/>
      <c r="B494" s="16"/>
      <c r="C494" s="16" t="s">
        <v>369</v>
      </c>
      <c r="D494" s="17"/>
      <c r="E494" s="9"/>
      <c r="F494" s="19">
        <f>Source!AL352</f>
        <v>22172.43</v>
      </c>
      <c r="G494" s="18" t="str">
        <f>Source!DD352</f>
        <v>/4*5</v>
      </c>
      <c r="H494" s="9">
        <f>Source!AW352</f>
        <v>1</v>
      </c>
      <c r="I494" s="9">
        <f>IF(Source!BC352&lt;&gt; 0, Source!BC352, 1)</f>
        <v>1</v>
      </c>
      <c r="J494" s="20">
        <f>Source!P352</f>
        <v>2217.2399999999998</v>
      </c>
      <c r="K494" s="20"/>
    </row>
    <row r="495" spans="1:22" ht="14.25" x14ac:dyDescent="0.2">
      <c r="A495" s="15"/>
      <c r="B495" s="16"/>
      <c r="C495" s="16" t="s">
        <v>363</v>
      </c>
      <c r="D495" s="17" t="s">
        <v>364</v>
      </c>
      <c r="E495" s="9">
        <f>Source!AT352</f>
        <v>70</v>
      </c>
      <c r="F495" s="19"/>
      <c r="G495" s="18"/>
      <c r="H495" s="9"/>
      <c r="I495" s="9"/>
      <c r="J495" s="20">
        <f>SUM(R489:R494)</f>
        <v>144.5</v>
      </c>
      <c r="K495" s="20"/>
    </row>
    <row r="496" spans="1:22" ht="14.25" x14ac:dyDescent="0.2">
      <c r="A496" s="15"/>
      <c r="B496" s="16"/>
      <c r="C496" s="16" t="s">
        <v>365</v>
      </c>
      <c r="D496" s="17" t="s">
        <v>364</v>
      </c>
      <c r="E496" s="9">
        <f>Source!AU352</f>
        <v>10</v>
      </c>
      <c r="F496" s="19"/>
      <c r="G496" s="18"/>
      <c r="H496" s="9"/>
      <c r="I496" s="9"/>
      <c r="J496" s="20">
        <f>SUM(T489:T495)</f>
        <v>20.64</v>
      </c>
      <c r="K496" s="20"/>
    </row>
    <row r="497" spans="1:22" ht="14.25" x14ac:dyDescent="0.2">
      <c r="A497" s="15"/>
      <c r="B497" s="16"/>
      <c r="C497" s="16" t="s">
        <v>366</v>
      </c>
      <c r="D497" s="17" t="s">
        <v>364</v>
      </c>
      <c r="E497" s="9">
        <f>108</f>
        <v>108</v>
      </c>
      <c r="F497" s="19"/>
      <c r="G497" s="18"/>
      <c r="H497" s="9"/>
      <c r="I497" s="9"/>
      <c r="J497" s="20">
        <f>SUM(V489:V496)</f>
        <v>61.84</v>
      </c>
      <c r="K497" s="20"/>
    </row>
    <row r="498" spans="1:22" ht="14.25" x14ac:dyDescent="0.2">
      <c r="A498" s="15"/>
      <c r="B498" s="16"/>
      <c r="C498" s="16" t="s">
        <v>367</v>
      </c>
      <c r="D498" s="17" t="s">
        <v>368</v>
      </c>
      <c r="E498" s="9">
        <f>Source!AQ352</f>
        <v>13.57</v>
      </c>
      <c r="F498" s="19"/>
      <c r="G498" s="18" t="str">
        <f>Source!DI352</f>
        <v/>
      </c>
      <c r="H498" s="9">
        <f>Source!AV352</f>
        <v>1</v>
      </c>
      <c r="I498" s="9"/>
      <c r="J498" s="20"/>
      <c r="K498" s="20">
        <f>Source!U352</f>
        <v>1.0856000000000001</v>
      </c>
    </row>
    <row r="499" spans="1:22" ht="15" x14ac:dyDescent="0.25">
      <c r="A499" s="25"/>
      <c r="B499" s="25"/>
      <c r="C499" s="25"/>
      <c r="D499" s="25"/>
      <c r="E499" s="25"/>
      <c r="F499" s="25"/>
      <c r="G499" s="25"/>
      <c r="H499" s="25"/>
      <c r="I499" s="45">
        <f>J491+J492+J494+J495+J496+J497</f>
        <v>2749.49</v>
      </c>
      <c r="J499" s="45"/>
      <c r="K499" s="26">
        <f>IF(Source!I352&lt;&gt;0, ROUND(I499/Source!I352, 2), 0)</f>
        <v>34368.629999999997</v>
      </c>
      <c r="P499" s="23">
        <f>I499</f>
        <v>2749.49</v>
      </c>
    </row>
    <row r="500" spans="1:22" ht="57" x14ac:dyDescent="0.2">
      <c r="A500" s="15" t="str">
        <f>Source!E353</f>
        <v>55</v>
      </c>
      <c r="B500" s="16" t="str">
        <f>Source!F353</f>
        <v>5.3-3103-11-1/1</v>
      </c>
      <c r="C500" s="16" t="str">
        <f>Source!G353</f>
        <v>Устройство наливного полиуретанового покрытия спортивных площадок и беговых дорожек толщиной 10 мм</v>
      </c>
      <c r="D500" s="17" t="str">
        <f>Source!H353</f>
        <v>100 м2</v>
      </c>
      <c r="E500" s="9">
        <f>Source!I353</f>
        <v>0.08</v>
      </c>
      <c r="F500" s="19"/>
      <c r="G500" s="18"/>
      <c r="H500" s="9"/>
      <c r="I500" s="9"/>
      <c r="J500" s="20"/>
      <c r="K500" s="20"/>
      <c r="Q500">
        <f>ROUND((Source!BZ353/100)*ROUND((Source!AF353*Source!AV353)*Source!I353, 2), 2)</f>
        <v>189.69</v>
      </c>
      <c r="R500">
        <f>Source!X353</f>
        <v>189.69</v>
      </c>
      <c r="S500">
        <f>ROUND((Source!CA353/100)*ROUND((Source!AF353*Source!AV353)*Source!I353, 2), 2)</f>
        <v>27.1</v>
      </c>
      <c r="T500">
        <f>Source!Y353</f>
        <v>27.1</v>
      </c>
      <c r="U500">
        <f>ROUND((175/100)*ROUND((Source!AE353*Source!AV353)*Source!I353, 2), 2)</f>
        <v>210.96</v>
      </c>
      <c r="V500">
        <f>ROUND((108/100)*ROUND(Source!CS353*Source!I353, 2), 2)</f>
        <v>130.19</v>
      </c>
    </row>
    <row r="501" spans="1:22" ht="14.25" x14ac:dyDescent="0.2">
      <c r="A501" s="15"/>
      <c r="B501" s="16"/>
      <c r="C501" s="16" t="s">
        <v>360</v>
      </c>
      <c r="D501" s="17"/>
      <c r="E501" s="9"/>
      <c r="F501" s="19">
        <f>Source!AO353</f>
        <v>3387.21</v>
      </c>
      <c r="G501" s="18" t="str">
        <f>Source!DG353</f>
        <v/>
      </c>
      <c r="H501" s="9">
        <f>Source!AV353</f>
        <v>1</v>
      </c>
      <c r="I501" s="9">
        <f>IF(Source!BA353&lt;&gt; 0, Source!BA353, 1)</f>
        <v>1</v>
      </c>
      <c r="J501" s="20">
        <f>Source!S353</f>
        <v>270.98</v>
      </c>
      <c r="K501" s="20"/>
    </row>
    <row r="502" spans="1:22" ht="14.25" x14ac:dyDescent="0.2">
      <c r="A502" s="15"/>
      <c r="B502" s="16"/>
      <c r="C502" s="16" t="s">
        <v>361</v>
      </c>
      <c r="D502" s="17"/>
      <c r="E502" s="9"/>
      <c r="F502" s="19">
        <f>Source!AM353</f>
        <v>1975.28</v>
      </c>
      <c r="G502" s="18" t="str">
        <f>Source!DE353</f>
        <v/>
      </c>
      <c r="H502" s="9">
        <f>Source!AV353</f>
        <v>1</v>
      </c>
      <c r="I502" s="9">
        <f>IF(Source!BB353&lt;&gt; 0, Source!BB353, 1)</f>
        <v>1</v>
      </c>
      <c r="J502" s="20">
        <f>Source!Q353</f>
        <v>158.02000000000001</v>
      </c>
      <c r="K502" s="20"/>
    </row>
    <row r="503" spans="1:22" ht="14.25" x14ac:dyDescent="0.2">
      <c r="A503" s="15"/>
      <c r="B503" s="16"/>
      <c r="C503" s="16" t="s">
        <v>362</v>
      </c>
      <c r="D503" s="17"/>
      <c r="E503" s="9"/>
      <c r="F503" s="19">
        <f>Source!AN353</f>
        <v>1506.92</v>
      </c>
      <c r="G503" s="18" t="str">
        <f>Source!DF353</f>
        <v/>
      </c>
      <c r="H503" s="9">
        <f>Source!AV353</f>
        <v>1</v>
      </c>
      <c r="I503" s="9">
        <f>IF(Source!BS353&lt;&gt; 0, Source!BS353, 1)</f>
        <v>1</v>
      </c>
      <c r="J503" s="22">
        <f>Source!R353</f>
        <v>120.55</v>
      </c>
      <c r="K503" s="20"/>
    </row>
    <row r="504" spans="1:22" ht="14.25" x14ac:dyDescent="0.2">
      <c r="A504" s="15"/>
      <c r="B504" s="16"/>
      <c r="C504" s="16" t="s">
        <v>369</v>
      </c>
      <c r="D504" s="17"/>
      <c r="E504" s="9"/>
      <c r="F504" s="19">
        <f>Source!AL353</f>
        <v>76330.37</v>
      </c>
      <c r="G504" s="18" t="str">
        <f>Source!DD353</f>
        <v/>
      </c>
      <c r="H504" s="9">
        <f>Source!AW353</f>
        <v>1</v>
      </c>
      <c r="I504" s="9">
        <f>IF(Source!BC353&lt;&gt; 0, Source!BC353, 1)</f>
        <v>1</v>
      </c>
      <c r="J504" s="20">
        <f>Source!P353</f>
        <v>6106.43</v>
      </c>
      <c r="K504" s="20"/>
    </row>
    <row r="505" spans="1:22" ht="14.25" x14ac:dyDescent="0.2">
      <c r="A505" s="15"/>
      <c r="B505" s="16"/>
      <c r="C505" s="16" t="s">
        <v>363</v>
      </c>
      <c r="D505" s="17" t="s">
        <v>364</v>
      </c>
      <c r="E505" s="9">
        <f>Source!AT353</f>
        <v>70</v>
      </c>
      <c r="F505" s="19"/>
      <c r="G505" s="18"/>
      <c r="H505" s="9"/>
      <c r="I505" s="9"/>
      <c r="J505" s="20">
        <f>SUM(R500:R504)</f>
        <v>189.69</v>
      </c>
      <c r="K505" s="20"/>
    </row>
    <row r="506" spans="1:22" ht="14.25" x14ac:dyDescent="0.2">
      <c r="A506" s="15"/>
      <c r="B506" s="16"/>
      <c r="C506" s="16" t="s">
        <v>365</v>
      </c>
      <c r="D506" s="17" t="s">
        <v>364</v>
      </c>
      <c r="E506" s="9">
        <f>Source!AU353</f>
        <v>10</v>
      </c>
      <c r="F506" s="19"/>
      <c r="G506" s="18"/>
      <c r="H506" s="9"/>
      <c r="I506" s="9"/>
      <c r="J506" s="20">
        <f>SUM(T500:T505)</f>
        <v>27.1</v>
      </c>
      <c r="K506" s="20"/>
    </row>
    <row r="507" spans="1:22" ht="14.25" x14ac:dyDescent="0.2">
      <c r="A507" s="15"/>
      <c r="B507" s="16"/>
      <c r="C507" s="16" t="s">
        <v>366</v>
      </c>
      <c r="D507" s="17" t="s">
        <v>364</v>
      </c>
      <c r="E507" s="9">
        <f>108</f>
        <v>108</v>
      </c>
      <c r="F507" s="19"/>
      <c r="G507" s="18"/>
      <c r="H507" s="9"/>
      <c r="I507" s="9"/>
      <c r="J507" s="20">
        <f>SUM(V500:V506)</f>
        <v>130.19</v>
      </c>
      <c r="K507" s="20"/>
    </row>
    <row r="508" spans="1:22" ht="14.25" x14ac:dyDescent="0.2">
      <c r="A508" s="15"/>
      <c r="B508" s="16"/>
      <c r="C508" s="16" t="s">
        <v>367</v>
      </c>
      <c r="D508" s="17" t="s">
        <v>368</v>
      </c>
      <c r="E508" s="9">
        <f>Source!AQ353</f>
        <v>18.440000000000001</v>
      </c>
      <c r="F508" s="19"/>
      <c r="G508" s="18" t="str">
        <f>Source!DI353</f>
        <v/>
      </c>
      <c r="H508" s="9">
        <f>Source!AV353</f>
        <v>1</v>
      </c>
      <c r="I508" s="9"/>
      <c r="J508" s="20"/>
      <c r="K508" s="20">
        <f>Source!U353</f>
        <v>1.4752000000000001</v>
      </c>
    </row>
    <row r="509" spans="1:22" ht="15" x14ac:dyDescent="0.25">
      <c r="A509" s="25"/>
      <c r="B509" s="25"/>
      <c r="C509" s="25"/>
      <c r="D509" s="25"/>
      <c r="E509" s="25"/>
      <c r="F509" s="25"/>
      <c r="G509" s="25"/>
      <c r="H509" s="25"/>
      <c r="I509" s="45">
        <f>J501+J502+J504+J505+J506+J507</f>
        <v>6882.41</v>
      </c>
      <c r="J509" s="45"/>
      <c r="K509" s="26">
        <f>IF(Source!I353&lt;&gt;0, ROUND(I509/Source!I353, 2), 0)</f>
        <v>86030.13</v>
      </c>
      <c r="P509" s="23">
        <f>I509</f>
        <v>6882.41</v>
      </c>
    </row>
    <row r="510" spans="1:22" ht="71.25" x14ac:dyDescent="0.2">
      <c r="A510" s="15" t="str">
        <f>Source!E354</f>
        <v>56</v>
      </c>
      <c r="B510" s="16" t="str">
        <f>Source!F354</f>
        <v>5.3-3103-11-2/1</v>
      </c>
      <c r="C510" s="16" t="str">
        <f>Source!G354</f>
        <v>Устройство наливного полиуретанового покрытия спортивных площадок и беговых дорожек, добавляется на 2 мм толщины покрытия</v>
      </c>
      <c r="D510" s="17" t="str">
        <f>Source!H354</f>
        <v>100 м2</v>
      </c>
      <c r="E510" s="9">
        <f>Source!I354</f>
        <v>0.08</v>
      </c>
      <c r="F510" s="19"/>
      <c r="G510" s="18"/>
      <c r="H510" s="9"/>
      <c r="I510" s="9"/>
      <c r="J510" s="20"/>
      <c r="K510" s="20"/>
      <c r="Q510">
        <f>ROUND((Source!BZ354/100)*ROUND((Source!AF354*Source!AV354)*Source!I354, 2), 2)</f>
        <v>28.08</v>
      </c>
      <c r="R510">
        <f>Source!X354</f>
        <v>28.08</v>
      </c>
      <c r="S510">
        <f>ROUND((Source!CA354/100)*ROUND((Source!AF354*Source!AV354)*Source!I354, 2), 2)</f>
        <v>4.01</v>
      </c>
      <c r="T510">
        <f>Source!Y354</f>
        <v>4.01</v>
      </c>
      <c r="U510">
        <f>ROUND((175/100)*ROUND((Source!AE354*Source!AV354)*Source!I354, 2), 2)</f>
        <v>39.83</v>
      </c>
      <c r="V510">
        <f>ROUND((108/100)*ROUND(Source!CS354*Source!I354, 2), 2)</f>
        <v>24.58</v>
      </c>
    </row>
    <row r="511" spans="1:22" ht="14.25" x14ac:dyDescent="0.2">
      <c r="A511" s="15"/>
      <c r="B511" s="16"/>
      <c r="C511" s="16" t="s">
        <v>360</v>
      </c>
      <c r="D511" s="17"/>
      <c r="E511" s="9"/>
      <c r="F511" s="19">
        <f>Source!AO354</f>
        <v>501.49</v>
      </c>
      <c r="G511" s="18" t="str">
        <f>Source!DG354</f>
        <v/>
      </c>
      <c r="H511" s="9">
        <f>Source!AV354</f>
        <v>1</v>
      </c>
      <c r="I511" s="9">
        <f>IF(Source!BA354&lt;&gt; 0, Source!BA354, 1)</f>
        <v>1</v>
      </c>
      <c r="J511" s="20">
        <f>Source!S354</f>
        <v>40.119999999999997</v>
      </c>
      <c r="K511" s="20"/>
    </row>
    <row r="512" spans="1:22" ht="14.25" x14ac:dyDescent="0.2">
      <c r="A512" s="15"/>
      <c r="B512" s="16"/>
      <c r="C512" s="16" t="s">
        <v>361</v>
      </c>
      <c r="D512" s="17"/>
      <c r="E512" s="9"/>
      <c r="F512" s="19">
        <f>Source!AM354</f>
        <v>371.84</v>
      </c>
      <c r="G512" s="18" t="str">
        <f>Source!DE354</f>
        <v/>
      </c>
      <c r="H512" s="9">
        <f>Source!AV354</f>
        <v>1</v>
      </c>
      <c r="I512" s="9">
        <f>IF(Source!BB354&lt;&gt; 0, Source!BB354, 1)</f>
        <v>1</v>
      </c>
      <c r="J512" s="20">
        <f>Source!Q354</f>
        <v>29.75</v>
      </c>
      <c r="K512" s="20"/>
    </row>
    <row r="513" spans="1:22" ht="14.25" x14ac:dyDescent="0.2">
      <c r="A513" s="15"/>
      <c r="B513" s="16"/>
      <c r="C513" s="16" t="s">
        <v>362</v>
      </c>
      <c r="D513" s="17"/>
      <c r="E513" s="9"/>
      <c r="F513" s="19">
        <f>Source!AN354</f>
        <v>284.52999999999997</v>
      </c>
      <c r="G513" s="18" t="str">
        <f>Source!DF354</f>
        <v/>
      </c>
      <c r="H513" s="9">
        <f>Source!AV354</f>
        <v>1</v>
      </c>
      <c r="I513" s="9">
        <f>IF(Source!BS354&lt;&gt; 0, Source!BS354, 1)</f>
        <v>1</v>
      </c>
      <c r="J513" s="22">
        <f>Source!R354</f>
        <v>22.76</v>
      </c>
      <c r="K513" s="20"/>
    </row>
    <row r="514" spans="1:22" ht="14.25" x14ac:dyDescent="0.2">
      <c r="A514" s="15"/>
      <c r="B514" s="16"/>
      <c r="C514" s="16" t="s">
        <v>369</v>
      </c>
      <c r="D514" s="17"/>
      <c r="E514" s="9"/>
      <c r="F514" s="19">
        <f>Source!AL354</f>
        <v>14084.7</v>
      </c>
      <c r="G514" s="18" t="str">
        <f>Source!DD354</f>
        <v/>
      </c>
      <c r="H514" s="9">
        <f>Source!AW354</f>
        <v>1</v>
      </c>
      <c r="I514" s="9">
        <f>IF(Source!BC354&lt;&gt; 0, Source!BC354, 1)</f>
        <v>1</v>
      </c>
      <c r="J514" s="20">
        <f>Source!P354</f>
        <v>1126.78</v>
      </c>
      <c r="K514" s="20"/>
    </row>
    <row r="515" spans="1:22" ht="14.25" x14ac:dyDescent="0.2">
      <c r="A515" s="15"/>
      <c r="B515" s="16"/>
      <c r="C515" s="16" t="s">
        <v>363</v>
      </c>
      <c r="D515" s="17" t="s">
        <v>364</v>
      </c>
      <c r="E515" s="9">
        <f>Source!AT354</f>
        <v>70</v>
      </c>
      <c r="F515" s="19"/>
      <c r="G515" s="18"/>
      <c r="H515" s="9"/>
      <c r="I515" s="9"/>
      <c r="J515" s="20">
        <f>SUM(R510:R514)</f>
        <v>28.08</v>
      </c>
      <c r="K515" s="20"/>
    </row>
    <row r="516" spans="1:22" ht="14.25" x14ac:dyDescent="0.2">
      <c r="A516" s="15"/>
      <c r="B516" s="16"/>
      <c r="C516" s="16" t="s">
        <v>365</v>
      </c>
      <c r="D516" s="17" t="s">
        <v>364</v>
      </c>
      <c r="E516" s="9">
        <f>Source!AU354</f>
        <v>10</v>
      </c>
      <c r="F516" s="19"/>
      <c r="G516" s="18"/>
      <c r="H516" s="9"/>
      <c r="I516" s="9"/>
      <c r="J516" s="20">
        <f>SUM(T510:T515)</f>
        <v>4.01</v>
      </c>
      <c r="K516" s="20"/>
    </row>
    <row r="517" spans="1:22" ht="14.25" x14ac:dyDescent="0.2">
      <c r="A517" s="15"/>
      <c r="B517" s="16"/>
      <c r="C517" s="16" t="s">
        <v>366</v>
      </c>
      <c r="D517" s="17" t="s">
        <v>364</v>
      </c>
      <c r="E517" s="9">
        <f>108</f>
        <v>108</v>
      </c>
      <c r="F517" s="19"/>
      <c r="G517" s="18"/>
      <c r="H517" s="9"/>
      <c r="I517" s="9"/>
      <c r="J517" s="20">
        <f>SUM(V510:V516)</f>
        <v>24.58</v>
      </c>
      <c r="K517" s="20"/>
    </row>
    <row r="518" spans="1:22" ht="14.25" x14ac:dyDescent="0.2">
      <c r="A518" s="15"/>
      <c r="B518" s="16"/>
      <c r="C518" s="16" t="s">
        <v>367</v>
      </c>
      <c r="D518" s="17" t="s">
        <v>368</v>
      </c>
      <c r="E518" s="9">
        <f>Source!AQ354</f>
        <v>2.65</v>
      </c>
      <c r="F518" s="19"/>
      <c r="G518" s="18" t="str">
        <f>Source!DI354</f>
        <v/>
      </c>
      <c r="H518" s="9">
        <f>Source!AV354</f>
        <v>1</v>
      </c>
      <c r="I518" s="9"/>
      <c r="J518" s="20"/>
      <c r="K518" s="20">
        <f>Source!U354</f>
        <v>0.21199999999999999</v>
      </c>
    </row>
    <row r="519" spans="1:22" ht="15" x14ac:dyDescent="0.25">
      <c r="A519" s="25"/>
      <c r="B519" s="25"/>
      <c r="C519" s="25"/>
      <c r="D519" s="25"/>
      <c r="E519" s="25"/>
      <c r="F519" s="25"/>
      <c r="G519" s="25"/>
      <c r="H519" s="25"/>
      <c r="I519" s="45">
        <f>J511+J512+J514+J515+J516+J517</f>
        <v>1253.32</v>
      </c>
      <c r="J519" s="45"/>
      <c r="K519" s="26">
        <f>IF(Source!I354&lt;&gt;0, ROUND(I519/Source!I354, 2), 0)</f>
        <v>15666.5</v>
      </c>
      <c r="P519" s="23">
        <f>I519</f>
        <v>1253.32</v>
      </c>
    </row>
    <row r="520" spans="1:22" ht="28.5" x14ac:dyDescent="0.2">
      <c r="A520" s="15" t="str">
        <f>Source!E355</f>
        <v>57</v>
      </c>
      <c r="B520" s="16" t="str">
        <f>Source!F355</f>
        <v>5.4-3203-7-2/1</v>
      </c>
      <c r="C520" s="16" t="str">
        <f>Source!G355</f>
        <v>Устройство корыта глубиной 40 см вручную Прим. (прыжковая яма)</v>
      </c>
      <c r="D520" s="17" t="str">
        <f>Source!H355</f>
        <v>100 м2</v>
      </c>
      <c r="E520" s="9">
        <f>Source!I355</f>
        <v>0.08</v>
      </c>
      <c r="F520" s="19"/>
      <c r="G520" s="18"/>
      <c r="H520" s="9"/>
      <c r="I520" s="9"/>
      <c r="J520" s="20"/>
      <c r="K520" s="20"/>
      <c r="Q520">
        <f>ROUND((Source!BZ355/100)*ROUND((Source!AF355*Source!AV355)*Source!I355, 2), 2)</f>
        <v>636.28</v>
      </c>
      <c r="R520">
        <f>Source!X355</f>
        <v>636.28</v>
      </c>
      <c r="S520">
        <f>ROUND((Source!CA355/100)*ROUND((Source!AF355*Source!AV355)*Source!I355, 2), 2)</f>
        <v>90.9</v>
      </c>
      <c r="T520">
        <f>Source!Y355</f>
        <v>90.9</v>
      </c>
      <c r="U520">
        <f>ROUND((175/100)*ROUND((Source!AE355*Source!AV355)*Source!I355, 2), 2)</f>
        <v>0</v>
      </c>
      <c r="V520">
        <f>ROUND((108/100)*ROUND(Source!CS355*Source!I355, 2), 2)</f>
        <v>0</v>
      </c>
    </row>
    <row r="521" spans="1:22" x14ac:dyDescent="0.2">
      <c r="C521" s="21" t="str">
        <f>"Объем: "&amp;Source!I355&amp;"=8/"&amp;"100"</f>
        <v>Объем: 0,08=8/100</v>
      </c>
    </row>
    <row r="522" spans="1:22" ht="14.25" x14ac:dyDescent="0.2">
      <c r="A522" s="15"/>
      <c r="B522" s="16"/>
      <c r="C522" s="16" t="s">
        <v>360</v>
      </c>
      <c r="D522" s="17"/>
      <c r="E522" s="9"/>
      <c r="F522" s="19">
        <f>Source!AO355</f>
        <v>11362.13</v>
      </c>
      <c r="G522" s="18" t="str">
        <f>Source!DG355</f>
        <v/>
      </c>
      <c r="H522" s="9">
        <f>Source!AV355</f>
        <v>1</v>
      </c>
      <c r="I522" s="9">
        <f>IF(Source!BA355&lt;&gt; 0, Source!BA355, 1)</f>
        <v>1</v>
      </c>
      <c r="J522" s="20">
        <f>Source!S355</f>
        <v>908.97</v>
      </c>
      <c r="K522" s="20"/>
    </row>
    <row r="523" spans="1:22" ht="14.25" x14ac:dyDescent="0.2">
      <c r="A523" s="15"/>
      <c r="B523" s="16"/>
      <c r="C523" s="16" t="s">
        <v>363</v>
      </c>
      <c r="D523" s="17" t="s">
        <v>364</v>
      </c>
      <c r="E523" s="9">
        <f>Source!AT355</f>
        <v>70</v>
      </c>
      <c r="F523" s="19"/>
      <c r="G523" s="18"/>
      <c r="H523" s="9"/>
      <c r="I523" s="9"/>
      <c r="J523" s="20">
        <f>SUM(R520:R522)</f>
        <v>636.28</v>
      </c>
      <c r="K523" s="20"/>
    </row>
    <row r="524" spans="1:22" ht="14.25" x14ac:dyDescent="0.2">
      <c r="A524" s="15"/>
      <c r="B524" s="16"/>
      <c r="C524" s="16" t="s">
        <v>365</v>
      </c>
      <c r="D524" s="17" t="s">
        <v>364</v>
      </c>
      <c r="E524" s="9">
        <f>Source!AU355</f>
        <v>10</v>
      </c>
      <c r="F524" s="19"/>
      <c r="G524" s="18"/>
      <c r="H524" s="9"/>
      <c r="I524" s="9"/>
      <c r="J524" s="20">
        <f>SUM(T520:T523)</f>
        <v>90.9</v>
      </c>
      <c r="K524" s="20"/>
    </row>
    <row r="525" spans="1:22" ht="14.25" x14ac:dyDescent="0.2">
      <c r="A525" s="15"/>
      <c r="B525" s="16"/>
      <c r="C525" s="16" t="s">
        <v>367</v>
      </c>
      <c r="D525" s="17" t="s">
        <v>368</v>
      </c>
      <c r="E525" s="9">
        <f>Source!AQ355</f>
        <v>85.94</v>
      </c>
      <c r="F525" s="19"/>
      <c r="G525" s="18" t="str">
        <f>Source!DI355</f>
        <v/>
      </c>
      <c r="H525" s="9">
        <f>Source!AV355</f>
        <v>1</v>
      </c>
      <c r="I525" s="9"/>
      <c r="J525" s="20"/>
      <c r="K525" s="20">
        <f>Source!U355</f>
        <v>6.8751999999999995</v>
      </c>
    </row>
    <row r="526" spans="1:22" ht="15" x14ac:dyDescent="0.25">
      <c r="A526" s="25"/>
      <c r="B526" s="25"/>
      <c r="C526" s="25"/>
      <c r="D526" s="25"/>
      <c r="E526" s="25"/>
      <c r="F526" s="25"/>
      <c r="G526" s="25"/>
      <c r="H526" s="25"/>
      <c r="I526" s="45">
        <f>J522+J523+J524</f>
        <v>1636.15</v>
      </c>
      <c r="J526" s="45"/>
      <c r="K526" s="26">
        <f>IF(Source!I355&lt;&gt;0, ROUND(I526/Source!I355, 2), 0)</f>
        <v>20451.88</v>
      </c>
      <c r="P526" s="23">
        <f>I526</f>
        <v>1636.15</v>
      </c>
    </row>
    <row r="527" spans="1:22" ht="42.75" x14ac:dyDescent="0.2">
      <c r="A527" s="15" t="str">
        <f>Source!E356</f>
        <v>58</v>
      </c>
      <c r="B527" s="16" t="str">
        <f>Source!F356</f>
        <v>2.1-3303-1-1/1</v>
      </c>
      <c r="C527" s="16" t="str">
        <f>Source!G356</f>
        <v>Устройство подстилающих и выравнивающих слоев оснований из песка</v>
      </c>
      <c r="D527" s="17" t="str">
        <f>Source!H356</f>
        <v>100 м3</v>
      </c>
      <c r="E527" s="9">
        <f>Source!I356</f>
        <v>3.2000000000000001E-2</v>
      </c>
      <c r="F527" s="19"/>
      <c r="G527" s="18"/>
      <c r="H527" s="9"/>
      <c r="I527" s="9"/>
      <c r="J527" s="20"/>
      <c r="K527" s="20"/>
      <c r="Q527">
        <f>ROUND((Source!BZ356/100)*ROUND((Source!AF356*Source!AV356)*Source!I356, 2), 2)</f>
        <v>57.3</v>
      </c>
      <c r="R527">
        <f>Source!X356</f>
        <v>57.3</v>
      </c>
      <c r="S527">
        <f>ROUND((Source!CA356/100)*ROUND((Source!AF356*Source!AV356)*Source!I356, 2), 2)</f>
        <v>8.19</v>
      </c>
      <c r="T527">
        <f>Source!Y356</f>
        <v>8.19</v>
      </c>
      <c r="U527">
        <f>ROUND((175/100)*ROUND((Source!AE356*Source!AV356)*Source!I356, 2), 2)</f>
        <v>149.5</v>
      </c>
      <c r="V527">
        <f>ROUND((108/100)*ROUND(Source!CS356*Source!I356, 2), 2)</f>
        <v>92.26</v>
      </c>
    </row>
    <row r="528" spans="1:22" x14ac:dyDescent="0.2">
      <c r="C528" s="21" t="str">
        <f>"Объем: "&amp;Source!I356&amp;"=8*"&amp;"0,4/"&amp;"100"</f>
        <v>Объем: 0,032=8*0,4/100</v>
      </c>
    </row>
    <row r="529" spans="1:16" ht="14.25" x14ac:dyDescent="0.2">
      <c r="A529" s="15"/>
      <c r="B529" s="16"/>
      <c r="C529" s="16" t="s">
        <v>360</v>
      </c>
      <c r="D529" s="17"/>
      <c r="E529" s="9"/>
      <c r="F529" s="19">
        <f>Source!AO356</f>
        <v>2557.69</v>
      </c>
      <c r="G529" s="18" t="str">
        <f>Source!DG356</f>
        <v/>
      </c>
      <c r="H529" s="9">
        <f>Source!AV356</f>
        <v>1</v>
      </c>
      <c r="I529" s="9">
        <f>IF(Source!BA356&lt;&gt; 0, Source!BA356, 1)</f>
        <v>1</v>
      </c>
      <c r="J529" s="20">
        <f>Source!S356</f>
        <v>81.849999999999994</v>
      </c>
      <c r="K529" s="20"/>
    </row>
    <row r="530" spans="1:16" ht="14.25" x14ac:dyDescent="0.2">
      <c r="A530" s="15"/>
      <c r="B530" s="16"/>
      <c r="C530" s="16" t="s">
        <v>361</v>
      </c>
      <c r="D530" s="17"/>
      <c r="E530" s="9"/>
      <c r="F530" s="19">
        <f>Source!AM356</f>
        <v>7173.55</v>
      </c>
      <c r="G530" s="18" t="str">
        <f>Source!DE356</f>
        <v/>
      </c>
      <c r="H530" s="9">
        <f>Source!AV356</f>
        <v>1</v>
      </c>
      <c r="I530" s="9">
        <f>IF(Source!BB356&lt;&gt; 0, Source!BB356, 1)</f>
        <v>1</v>
      </c>
      <c r="J530" s="20">
        <f>Source!Q356</f>
        <v>229.55</v>
      </c>
      <c r="K530" s="20"/>
    </row>
    <row r="531" spans="1:16" ht="14.25" x14ac:dyDescent="0.2">
      <c r="A531" s="15"/>
      <c r="B531" s="16"/>
      <c r="C531" s="16" t="s">
        <v>362</v>
      </c>
      <c r="D531" s="17"/>
      <c r="E531" s="9"/>
      <c r="F531" s="19">
        <f>Source!AN356</f>
        <v>2669.64</v>
      </c>
      <c r="G531" s="18" t="str">
        <f>Source!DF356</f>
        <v/>
      </c>
      <c r="H531" s="9">
        <f>Source!AV356</f>
        <v>1</v>
      </c>
      <c r="I531" s="9">
        <f>IF(Source!BS356&lt;&gt; 0, Source!BS356, 1)</f>
        <v>1</v>
      </c>
      <c r="J531" s="22">
        <f>Source!R356</f>
        <v>85.43</v>
      </c>
      <c r="K531" s="20"/>
    </row>
    <row r="532" spans="1:16" ht="14.25" x14ac:dyDescent="0.2">
      <c r="A532" s="15"/>
      <c r="B532" s="16"/>
      <c r="C532" s="16" t="s">
        <v>369</v>
      </c>
      <c r="D532" s="17"/>
      <c r="E532" s="9"/>
      <c r="F532" s="19">
        <f>Source!AL356</f>
        <v>61659.15</v>
      </c>
      <c r="G532" s="18" t="str">
        <f>Source!DD356</f>
        <v/>
      </c>
      <c r="H532" s="9">
        <f>Source!AW356</f>
        <v>1</v>
      </c>
      <c r="I532" s="9">
        <f>IF(Source!BC356&lt;&gt; 0, Source!BC356, 1)</f>
        <v>1</v>
      </c>
      <c r="J532" s="20">
        <f>Source!P356</f>
        <v>1973.09</v>
      </c>
      <c r="K532" s="20"/>
    </row>
    <row r="533" spans="1:16" ht="14.25" x14ac:dyDescent="0.2">
      <c r="A533" s="15"/>
      <c r="B533" s="16"/>
      <c r="C533" s="16" t="s">
        <v>363</v>
      </c>
      <c r="D533" s="17" t="s">
        <v>364</v>
      </c>
      <c r="E533" s="9">
        <f>Source!AT356</f>
        <v>70</v>
      </c>
      <c r="F533" s="19"/>
      <c r="G533" s="18"/>
      <c r="H533" s="9"/>
      <c r="I533" s="9"/>
      <c r="J533" s="20">
        <f>SUM(R527:R532)</f>
        <v>57.3</v>
      </c>
      <c r="K533" s="20"/>
    </row>
    <row r="534" spans="1:16" ht="14.25" x14ac:dyDescent="0.2">
      <c r="A534" s="15"/>
      <c r="B534" s="16"/>
      <c r="C534" s="16" t="s">
        <v>365</v>
      </c>
      <c r="D534" s="17" t="s">
        <v>364</v>
      </c>
      <c r="E534" s="9">
        <f>Source!AU356</f>
        <v>10</v>
      </c>
      <c r="F534" s="19"/>
      <c r="G534" s="18"/>
      <c r="H534" s="9"/>
      <c r="I534" s="9"/>
      <c r="J534" s="20">
        <f>SUM(T527:T533)</f>
        <v>8.19</v>
      </c>
      <c r="K534" s="20"/>
    </row>
    <row r="535" spans="1:16" ht="14.25" x14ac:dyDescent="0.2">
      <c r="A535" s="15"/>
      <c r="B535" s="16"/>
      <c r="C535" s="16" t="s">
        <v>366</v>
      </c>
      <c r="D535" s="17" t="s">
        <v>364</v>
      </c>
      <c r="E535" s="9">
        <f>108</f>
        <v>108</v>
      </c>
      <c r="F535" s="19"/>
      <c r="G535" s="18"/>
      <c r="H535" s="9"/>
      <c r="I535" s="9"/>
      <c r="J535" s="20">
        <f>SUM(V527:V534)</f>
        <v>92.26</v>
      </c>
      <c r="K535" s="20"/>
    </row>
    <row r="536" spans="1:16" ht="14.25" x14ac:dyDescent="0.2">
      <c r="A536" s="15"/>
      <c r="B536" s="16"/>
      <c r="C536" s="16" t="s">
        <v>367</v>
      </c>
      <c r="D536" s="17" t="s">
        <v>368</v>
      </c>
      <c r="E536" s="9">
        <f>Source!AQ356</f>
        <v>16.559999999999999</v>
      </c>
      <c r="F536" s="19"/>
      <c r="G536" s="18" t="str">
        <f>Source!DI356</f>
        <v/>
      </c>
      <c r="H536" s="9">
        <f>Source!AV356</f>
        <v>1</v>
      </c>
      <c r="I536" s="9"/>
      <c r="J536" s="20"/>
      <c r="K536" s="20">
        <f>Source!U356</f>
        <v>0.52991999999999995</v>
      </c>
    </row>
    <row r="537" spans="1:16" ht="15" x14ac:dyDescent="0.25">
      <c r="A537" s="25"/>
      <c r="B537" s="25"/>
      <c r="C537" s="25"/>
      <c r="D537" s="25"/>
      <c r="E537" s="25"/>
      <c r="F537" s="25"/>
      <c r="G537" s="25"/>
      <c r="H537" s="25"/>
      <c r="I537" s="45">
        <f>J529+J530+J532+J533+J534+J535</f>
        <v>2442.2400000000002</v>
      </c>
      <c r="J537" s="45"/>
      <c r="K537" s="26">
        <f>IF(Source!I356&lt;&gt;0, ROUND(I537/Source!I356, 2), 0)</f>
        <v>76320</v>
      </c>
      <c r="P537" s="23">
        <f>I537</f>
        <v>2442.2400000000002</v>
      </c>
    </row>
    <row r="539" spans="1:16" ht="15" x14ac:dyDescent="0.25">
      <c r="A539" s="48" t="str">
        <f>CONCATENATE("Итого по разделу: ",IF(Source!G358&lt;&gt;"Новый раздел", Source!G358, ""))</f>
        <v>Итого по разделу: Устройство прыжковой ямы и полиуретановой дорожки</v>
      </c>
      <c r="B539" s="48"/>
      <c r="C539" s="48"/>
      <c r="D539" s="48"/>
      <c r="E539" s="48"/>
      <c r="F539" s="48"/>
      <c r="G539" s="48"/>
      <c r="H539" s="48"/>
      <c r="I539" s="46">
        <f>SUM(P449:P538)</f>
        <v>19776.02</v>
      </c>
      <c r="J539" s="47"/>
      <c r="K539" s="27"/>
    </row>
  </sheetData>
  <mergeCells count="102">
    <mergeCell ref="A6:K6"/>
    <mergeCell ref="A7:K7"/>
    <mergeCell ref="A9:K9"/>
    <mergeCell ref="A1:K1"/>
    <mergeCell ref="A2:K2"/>
    <mergeCell ref="A4:K4"/>
    <mergeCell ref="I11:I13"/>
    <mergeCell ref="J11:J13"/>
    <mergeCell ref="A16:K16"/>
    <mergeCell ref="A17:K17"/>
    <mergeCell ref="I27:J27"/>
    <mergeCell ref="I37:J37"/>
    <mergeCell ref="A11:A13"/>
    <mergeCell ref="B11:B13"/>
    <mergeCell ref="C11:C13"/>
    <mergeCell ref="D11:D13"/>
    <mergeCell ref="E11:E13"/>
    <mergeCell ref="F11:F13"/>
    <mergeCell ref="G11:G13"/>
    <mergeCell ref="H11:H13"/>
    <mergeCell ref="A139:H139"/>
    <mergeCell ref="A142:K142"/>
    <mergeCell ref="I83:J83"/>
    <mergeCell ref="A83:H83"/>
    <mergeCell ref="A86:K86"/>
    <mergeCell ref="I96:J96"/>
    <mergeCell ref="I101:J101"/>
    <mergeCell ref="I105:J105"/>
    <mergeCell ref="I42:J42"/>
    <mergeCell ref="I46:J46"/>
    <mergeCell ref="I50:J50"/>
    <mergeCell ref="I61:J61"/>
    <mergeCell ref="I71:J71"/>
    <mergeCell ref="I81:J81"/>
    <mergeCell ref="I152:J152"/>
    <mergeCell ref="I162:J162"/>
    <mergeCell ref="I167:J167"/>
    <mergeCell ref="I171:J171"/>
    <mergeCell ref="I175:J175"/>
    <mergeCell ref="I186:J186"/>
    <mergeCell ref="I116:J116"/>
    <mergeCell ref="I126:J126"/>
    <mergeCell ref="I137:J137"/>
    <mergeCell ref="I139:J139"/>
    <mergeCell ref="I224:J224"/>
    <mergeCell ref="I228:J228"/>
    <mergeCell ref="I232:J232"/>
    <mergeCell ref="I234:J234"/>
    <mergeCell ref="A234:H234"/>
    <mergeCell ref="A237:K237"/>
    <mergeCell ref="I196:J196"/>
    <mergeCell ref="I207:J207"/>
    <mergeCell ref="I209:J209"/>
    <mergeCell ref="A209:H209"/>
    <mergeCell ref="A212:K212"/>
    <mergeCell ref="A214:K214"/>
    <mergeCell ref="A272:H272"/>
    <mergeCell ref="I275:J275"/>
    <mergeCell ref="A275:H275"/>
    <mergeCell ref="A278:K278"/>
    <mergeCell ref="I288:J288"/>
    <mergeCell ref="I293:J293"/>
    <mergeCell ref="I247:J247"/>
    <mergeCell ref="I252:J252"/>
    <mergeCell ref="I256:J256"/>
    <mergeCell ref="I260:J260"/>
    <mergeCell ref="I270:J270"/>
    <mergeCell ref="I272:J272"/>
    <mergeCell ref="I359:J359"/>
    <mergeCell ref="I361:J361"/>
    <mergeCell ref="A361:H361"/>
    <mergeCell ref="A364:K364"/>
    <mergeCell ref="I374:J374"/>
    <mergeCell ref="I378:J378"/>
    <mergeCell ref="I297:J297"/>
    <mergeCell ref="I308:J308"/>
    <mergeCell ref="I318:J318"/>
    <mergeCell ref="I329:J329"/>
    <mergeCell ref="I339:J339"/>
    <mergeCell ref="I349:J349"/>
    <mergeCell ref="I444:J444"/>
    <mergeCell ref="I446:J446"/>
    <mergeCell ref="A446:H446"/>
    <mergeCell ref="A449:K449"/>
    <mergeCell ref="I459:J459"/>
    <mergeCell ref="I463:J463"/>
    <mergeCell ref="I382:J382"/>
    <mergeCell ref="I393:J393"/>
    <mergeCell ref="I403:J403"/>
    <mergeCell ref="I414:J414"/>
    <mergeCell ref="I424:J424"/>
    <mergeCell ref="I434:J434"/>
    <mergeCell ref="I526:J526"/>
    <mergeCell ref="I537:J537"/>
    <mergeCell ref="I539:J539"/>
    <mergeCell ref="A539:H539"/>
    <mergeCell ref="I467:J467"/>
    <mergeCell ref="I478:J478"/>
    <mergeCell ref="I488:J488"/>
    <mergeCell ref="I499:J499"/>
    <mergeCell ref="I509:J509"/>
    <mergeCell ref="I519:J519"/>
  </mergeCells>
  <pageMargins left="0" right="0" top="0" bottom="0" header="0.19685039370078741" footer="0.19685039370078741"/>
  <pageSetup paperSize="9" scale="67" fitToHeight="0" orientation="portrait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"/>
  <sheetViews>
    <sheetView zoomScaleNormal="100" workbookViewId="0">
      <selection activeCell="K13" sqref="K13"/>
    </sheetView>
  </sheetViews>
  <sheetFormatPr defaultRowHeight="12.75" x14ac:dyDescent="0.2"/>
  <cols>
    <col min="1" max="1" width="6.7109375" customWidth="1"/>
    <col min="2" max="2" width="75.7109375" customWidth="1"/>
    <col min="3" max="4" width="15.7109375" customWidth="1"/>
    <col min="5" max="5" width="15.7109375" hidden="1" customWidth="1"/>
  </cols>
  <sheetData>
    <row r="1" spans="1:5" x14ac:dyDescent="0.2">
      <c r="A1" s="8" t="str">
        <f>Source!B1</f>
        <v>Smeta.RU  (495) 974-1589</v>
      </c>
    </row>
    <row r="2" spans="1:5" ht="14.25" x14ac:dyDescent="0.2">
      <c r="C2" s="10"/>
      <c r="D2" s="10"/>
    </row>
    <row r="3" spans="1:5" ht="15" x14ac:dyDescent="0.25">
      <c r="C3" s="10"/>
      <c r="D3" s="24" t="s">
        <v>343</v>
      </c>
    </row>
    <row r="4" spans="1:5" ht="15" x14ac:dyDescent="0.25">
      <c r="C4" s="24"/>
      <c r="D4" s="24"/>
    </row>
    <row r="5" spans="1:5" ht="15" x14ac:dyDescent="0.25">
      <c r="C5" s="58" t="s">
        <v>370</v>
      </c>
      <c r="D5" s="58"/>
    </row>
    <row r="6" spans="1:5" ht="15" x14ac:dyDescent="0.25">
      <c r="C6" s="29"/>
      <c r="D6" s="29"/>
    </row>
    <row r="7" spans="1:5" ht="15" x14ac:dyDescent="0.25">
      <c r="C7" s="58" t="s">
        <v>370</v>
      </c>
      <c r="D7" s="58"/>
    </row>
    <row r="8" spans="1:5" ht="15" x14ac:dyDescent="0.25">
      <c r="C8" s="29"/>
      <c r="D8" s="29"/>
    </row>
    <row r="9" spans="1:5" ht="15" x14ac:dyDescent="0.25">
      <c r="C9" s="24" t="s">
        <v>371</v>
      </c>
      <c r="D9" s="10"/>
    </row>
    <row r="10" spans="1:5" ht="14.25" x14ac:dyDescent="0.2">
      <c r="A10" s="10"/>
      <c r="B10" s="10"/>
      <c r="C10" s="10"/>
      <c r="D10" s="10"/>
      <c r="E10" s="10"/>
    </row>
    <row r="11" spans="1:5" ht="15.75" x14ac:dyDescent="0.25">
      <c r="A11" s="59" t="str">
        <f>CONCATENATE("Дефектный акт ", IF(Source!AN15&lt;&gt;"", Source!AN15," "))</f>
        <v xml:space="preserve">Дефектный акт  </v>
      </c>
      <c r="B11" s="59"/>
      <c r="C11" s="59"/>
      <c r="D11" s="59"/>
      <c r="E11" s="10"/>
    </row>
    <row r="12" spans="1:5" ht="48.75" customHeight="1" x14ac:dyDescent="0.25">
      <c r="A12" s="60" t="s">
        <v>420</v>
      </c>
      <c r="B12" s="60"/>
      <c r="C12" s="60"/>
      <c r="D12" s="60"/>
      <c r="E12" s="10"/>
    </row>
    <row r="13" spans="1:5" ht="14.25" x14ac:dyDescent="0.2">
      <c r="A13" s="10"/>
      <c r="B13" s="10"/>
      <c r="C13" s="10"/>
      <c r="D13" s="10"/>
      <c r="E13" s="10"/>
    </row>
    <row r="14" spans="1:5" ht="15" x14ac:dyDescent="0.2">
      <c r="A14" s="10"/>
      <c r="B14" s="30" t="s">
        <v>372</v>
      </c>
      <c r="C14" s="10"/>
      <c r="D14" s="10"/>
      <c r="E14" s="10"/>
    </row>
    <row r="15" spans="1:5" ht="15" x14ac:dyDescent="0.2">
      <c r="A15" s="10"/>
      <c r="B15" s="30" t="s">
        <v>373</v>
      </c>
      <c r="C15" s="10"/>
      <c r="D15" s="10"/>
      <c r="E15" s="10"/>
    </row>
    <row r="16" spans="1:5" ht="15" x14ac:dyDescent="0.2">
      <c r="A16" s="10"/>
      <c r="B16" s="30" t="s">
        <v>374</v>
      </c>
      <c r="C16" s="10"/>
      <c r="D16" s="10"/>
      <c r="E16" s="10"/>
    </row>
    <row r="17" spans="1:5" ht="28.5" x14ac:dyDescent="0.2">
      <c r="A17" s="14" t="s">
        <v>375</v>
      </c>
      <c r="B17" s="14" t="s">
        <v>348</v>
      </c>
      <c r="C17" s="14" t="s">
        <v>349</v>
      </c>
      <c r="D17" s="14" t="s">
        <v>376</v>
      </c>
      <c r="E17" s="31" t="s">
        <v>377</v>
      </c>
    </row>
    <row r="18" spans="1:5" ht="14.25" x14ac:dyDescent="0.2">
      <c r="A18" s="33">
        <v>1</v>
      </c>
      <c r="B18" s="33">
        <v>2</v>
      </c>
      <c r="C18" s="33">
        <v>3</v>
      </c>
      <c r="D18" s="33">
        <v>4</v>
      </c>
      <c r="E18" s="32">
        <v>5</v>
      </c>
    </row>
    <row r="19" spans="1:5" ht="16.5" x14ac:dyDescent="0.25">
      <c r="A19" s="57" t="str">
        <f>CONCATENATE("Локальная смета: ", Source!G20)</f>
        <v>Локальная смета: Новая локальная смета</v>
      </c>
      <c r="B19" s="57"/>
      <c r="C19" s="57"/>
      <c r="D19" s="57"/>
    </row>
    <row r="20" spans="1:5" ht="16.5" x14ac:dyDescent="0.25">
      <c r="A20" s="57" t="str">
        <f>CONCATENATE("Раздел: ", Source!G24)</f>
        <v>Раздел: Ремонт асфальтобетонного покрытия - 730м2</v>
      </c>
      <c r="B20" s="57"/>
      <c r="C20" s="57"/>
      <c r="D20" s="57"/>
    </row>
    <row r="21" spans="1:5" ht="14.25" x14ac:dyDescent="0.2">
      <c r="A21" s="38" t="str">
        <f>Source!E28</f>
        <v>1</v>
      </c>
      <c r="B21" s="39" t="str">
        <f>Source!G28</f>
        <v>Разборка покрытий и оснований асфальтобетонных</v>
      </c>
      <c r="C21" s="40" t="str">
        <f>Source!H28</f>
        <v>100 м3</v>
      </c>
      <c r="D21" s="41">
        <f>Source!I28</f>
        <v>0.36499999999999999</v>
      </c>
    </row>
    <row r="22" spans="1:5" ht="14.25" x14ac:dyDescent="0.2">
      <c r="A22" s="38" t="str">
        <f>Source!E29</f>
        <v>2</v>
      </c>
      <c r="B22" s="39" t="str">
        <f>Source!G29</f>
        <v>Разборка покрытий и оснований щебеночных</v>
      </c>
      <c r="C22" s="40" t="str">
        <f>Source!H29</f>
        <v>100 м3</v>
      </c>
      <c r="D22" s="41">
        <f>Source!I29</f>
        <v>1.825</v>
      </c>
    </row>
    <row r="23" spans="1:5" ht="28.5" x14ac:dyDescent="0.2">
      <c r="A23" s="38" t="str">
        <f>Source!E30</f>
        <v>3</v>
      </c>
      <c r="B23" s="39" t="str">
        <f>Source!G30</f>
        <v>Механизированная погрузка строительного мусора в автомобили-самосвалы</v>
      </c>
      <c r="C23" s="40" t="str">
        <f>Source!H30</f>
        <v>т</v>
      </c>
      <c r="D23" s="41">
        <f>Source!I30</f>
        <v>157.26863</v>
      </c>
    </row>
    <row r="24" spans="1:5" ht="28.5" x14ac:dyDescent="0.2">
      <c r="A24" s="38" t="str">
        <f>Source!E31</f>
        <v>4</v>
      </c>
      <c r="B24" s="39" t="str">
        <f>Source!G31</f>
        <v>Перевозка строительного мусора автосамосвалами грузоподъемностью до 10 т на расстояние 1 км - при механизированной погрузке</v>
      </c>
      <c r="C24" s="40" t="str">
        <f>Source!H31</f>
        <v>т</v>
      </c>
      <c r="D24" s="41">
        <f>Source!I31</f>
        <v>157.26863</v>
      </c>
    </row>
    <row r="25" spans="1:5" ht="28.5" x14ac:dyDescent="0.2">
      <c r="A25" s="38" t="str">
        <f>Source!E32</f>
        <v>5</v>
      </c>
      <c r="B25" s="39" t="str">
        <f>Source!G32</f>
        <v>Перевозка строительного мусора автосамосвалами грузоподъемностью до 10 т - добавляется на каждый последующий 1 км до 100 км</v>
      </c>
      <c r="C25" s="40" t="str">
        <f>Source!H32</f>
        <v>т</v>
      </c>
      <c r="D25" s="41">
        <f>Source!I32</f>
        <v>157.26863</v>
      </c>
    </row>
    <row r="26" spans="1:5" ht="14.25" x14ac:dyDescent="0.2">
      <c r="A26" s="38" t="str">
        <f>Source!E33</f>
        <v>6</v>
      </c>
      <c r="B26" s="39" t="str">
        <f>Source!G33</f>
        <v>Устройство подстилающих и выравнивающих слоев оснований из песка</v>
      </c>
      <c r="C26" s="40" t="str">
        <f>Source!H33</f>
        <v>100 м3</v>
      </c>
      <c r="D26" s="41">
        <f>Source!I33</f>
        <v>0.73</v>
      </c>
    </row>
    <row r="27" spans="1:5" ht="14.25" x14ac:dyDescent="0.2">
      <c r="A27" s="38" t="str">
        <f>Source!E34</f>
        <v>7</v>
      </c>
      <c r="B27" s="39" t="str">
        <f>Source!G34</f>
        <v>Устройство подстилающих и выравнивающих слоев оснований из щебня</v>
      </c>
      <c r="C27" s="40" t="str">
        <f>Source!H34</f>
        <v>100 м3</v>
      </c>
      <c r="D27" s="41">
        <f>Source!I34</f>
        <v>0.73</v>
      </c>
    </row>
    <row r="28" spans="1:5" ht="28.5" x14ac:dyDescent="0.2">
      <c r="A28" s="38" t="str">
        <f>Source!E35</f>
        <v>8</v>
      </c>
      <c r="B28" s="39" t="str">
        <f>Source!G35</f>
        <v>Устройство покрытий из асфальтобетонных смесей вручную, толщина 4 см</v>
      </c>
      <c r="C28" s="40" t="str">
        <f>Source!H35</f>
        <v>100 м2</v>
      </c>
      <c r="D28" s="41">
        <f>Source!I35</f>
        <v>7.3</v>
      </c>
    </row>
    <row r="29" spans="1:5" ht="16.5" x14ac:dyDescent="0.25">
      <c r="A29" s="57" t="str">
        <f>CONCATENATE("Раздел: ", Source!G66)</f>
        <v>Раздел: Устройство асфальтобетонного покрытия - 13м2</v>
      </c>
      <c r="B29" s="57"/>
      <c r="C29" s="57"/>
      <c r="D29" s="57"/>
    </row>
    <row r="30" spans="1:5" ht="28.5" x14ac:dyDescent="0.2">
      <c r="A30" s="38" t="str">
        <f>Source!E70</f>
        <v>9</v>
      </c>
      <c r="B30" s="39" t="str">
        <f>Source!G70</f>
        <v>Разработка грунта с погрузкой на автомобили-самосвалы экскаваторами с ковшом вместимостью 0,8 м3, группа грунтов 1-3</v>
      </c>
      <c r="C30" s="40" t="str">
        <f>Source!H70</f>
        <v>100 м3</v>
      </c>
      <c r="D30" s="41">
        <f>Source!I70</f>
        <v>4.5499999999999999E-2</v>
      </c>
    </row>
    <row r="31" spans="1:5" ht="28.5" x14ac:dyDescent="0.2">
      <c r="A31" s="38" t="str">
        <f>Source!E71</f>
        <v>10</v>
      </c>
      <c r="B31" s="39" t="str">
        <f>Source!G71</f>
        <v>Перевозка грунта автосамосвалами грузоподъемностью до 10 т на расстояние 1 км</v>
      </c>
      <c r="C31" s="40" t="str">
        <f>Source!H71</f>
        <v>м3</v>
      </c>
      <c r="D31" s="41">
        <f>Source!I71</f>
        <v>4.55</v>
      </c>
    </row>
    <row r="32" spans="1:5" ht="28.5" x14ac:dyDescent="0.2">
      <c r="A32" s="38" t="str">
        <f>Source!E72</f>
        <v>11</v>
      </c>
      <c r="B32" s="39" t="str">
        <f>Source!G72</f>
        <v>Перевозка грунта автосамосвалами грузоподъемностью до 10 т - добавляется на каждый последующий 1 км до 100 км (к поз. 49-3401-1-1)</v>
      </c>
      <c r="C32" s="40" t="str">
        <f>Source!H72</f>
        <v>м3</v>
      </c>
      <c r="D32" s="41">
        <f>Source!I72</f>
        <v>4.55</v>
      </c>
    </row>
    <row r="33" spans="1:4" ht="14.25" x14ac:dyDescent="0.2">
      <c r="A33" s="38" t="str">
        <f>Source!E73</f>
        <v>12</v>
      </c>
      <c r="B33" s="39" t="str">
        <f>Source!G73</f>
        <v>Устройство подстилающих и выравнивающих слоев оснований из песка</v>
      </c>
      <c r="C33" s="40" t="str">
        <f>Source!H73</f>
        <v>100 м3</v>
      </c>
      <c r="D33" s="41">
        <f>Source!I73</f>
        <v>1.2999999999999999E-2</v>
      </c>
    </row>
    <row r="34" spans="1:4" ht="14.25" x14ac:dyDescent="0.2">
      <c r="A34" s="38" t="str">
        <f>Source!E74</f>
        <v>13</v>
      </c>
      <c r="B34" s="39" t="str">
        <f>Source!G74</f>
        <v>Устройство подстилающих и выравнивающих слоев оснований из щебня</v>
      </c>
      <c r="C34" s="40" t="str">
        <f>Source!H74</f>
        <v>100 м3</v>
      </c>
      <c r="D34" s="41">
        <f>Source!I74</f>
        <v>1.2999999999999999E-2</v>
      </c>
    </row>
    <row r="35" spans="1:4" ht="28.5" x14ac:dyDescent="0.2">
      <c r="A35" s="38" t="str">
        <f>Source!E75</f>
        <v>14</v>
      </c>
      <c r="B35" s="39" t="str">
        <f>Source!G75</f>
        <v>Устройство покрытий из асфальтобетонных смесей вручную, толщина 4 см (до 5см)</v>
      </c>
      <c r="C35" s="40" t="str">
        <f>Source!H75</f>
        <v>100 м2</v>
      </c>
      <c r="D35" s="41">
        <f>Source!I75</f>
        <v>0.13</v>
      </c>
    </row>
    <row r="36" spans="1:4" ht="16.5" x14ac:dyDescent="0.25">
      <c r="A36" s="57" t="str">
        <f>CONCATENATE("Раздел: ", Source!G106)</f>
        <v>Раздел: Ремонт отмостки - 85м2</v>
      </c>
      <c r="B36" s="57"/>
      <c r="C36" s="57"/>
      <c r="D36" s="57"/>
    </row>
    <row r="37" spans="1:4" ht="14.25" x14ac:dyDescent="0.2">
      <c r="A37" s="38" t="str">
        <f>Source!E110</f>
        <v>15</v>
      </c>
      <c r="B37" s="39" t="str">
        <f>Source!G110</f>
        <v>Разборка покрытий и оснований асфальтобетонных</v>
      </c>
      <c r="C37" s="40" t="str">
        <f>Source!H110</f>
        <v>100 м3</v>
      </c>
      <c r="D37" s="41">
        <f>Source!I110</f>
        <v>4.2500000000000003E-2</v>
      </c>
    </row>
    <row r="38" spans="1:4" ht="14.25" x14ac:dyDescent="0.2">
      <c r="A38" s="38" t="str">
        <f>Source!E111</f>
        <v>16</v>
      </c>
      <c r="B38" s="39" t="str">
        <f>Source!G111</f>
        <v>Разборка покрытий и оснований щебеночных</v>
      </c>
      <c r="C38" s="40" t="str">
        <f>Source!H111</f>
        <v>100 м3</v>
      </c>
      <c r="D38" s="41">
        <f>Source!I111</f>
        <v>0.21249999999999999</v>
      </c>
    </row>
    <row r="39" spans="1:4" ht="28.5" x14ac:dyDescent="0.2">
      <c r="A39" s="38" t="str">
        <f>Source!E112</f>
        <v>17</v>
      </c>
      <c r="B39" s="39" t="str">
        <f>Source!G112</f>
        <v>Механизированная погрузка строительного мусора в автомобили-самосвалы</v>
      </c>
      <c r="C39" s="40" t="str">
        <f>Source!H112</f>
        <v>т</v>
      </c>
      <c r="D39" s="41">
        <f>Source!I112</f>
        <v>28.25</v>
      </c>
    </row>
    <row r="40" spans="1:4" ht="28.5" x14ac:dyDescent="0.2">
      <c r="A40" s="38" t="str">
        <f>Source!E113</f>
        <v>18</v>
      </c>
      <c r="B40" s="39" t="str">
        <f>Source!G113</f>
        <v>Перевозка строительного мусора автосамосвалами грузоподъемностью до 10 т на расстояние 1 км - при механизированной погрузке</v>
      </c>
      <c r="C40" s="40" t="str">
        <f>Source!H113</f>
        <v>т</v>
      </c>
      <c r="D40" s="41">
        <f>Source!I113</f>
        <v>28.25</v>
      </c>
    </row>
    <row r="41" spans="1:4" ht="28.5" x14ac:dyDescent="0.2">
      <c r="A41" s="38" t="str">
        <f>Source!E114</f>
        <v>19</v>
      </c>
      <c r="B41" s="39" t="str">
        <f>Source!G114</f>
        <v>Перевозка строительного мусора автосамосвалами грузоподъемностью до 10 т - добавляется на каждый последующий 1 км до 100 км</v>
      </c>
      <c r="C41" s="40" t="str">
        <f>Source!H114</f>
        <v>т</v>
      </c>
      <c r="D41" s="41">
        <f>Source!I114</f>
        <v>28.25</v>
      </c>
    </row>
    <row r="42" spans="1:4" ht="14.25" x14ac:dyDescent="0.2">
      <c r="A42" s="38" t="str">
        <f>Source!E115</f>
        <v>20</v>
      </c>
      <c r="B42" s="39" t="str">
        <f>Source!G115</f>
        <v>Устройство подстилающих и выравнивающих слоев оснований из песка</v>
      </c>
      <c r="C42" s="40" t="str">
        <f>Source!H115</f>
        <v>100 м3</v>
      </c>
      <c r="D42" s="41">
        <f>Source!I115</f>
        <v>8.5000000000000006E-2</v>
      </c>
    </row>
    <row r="43" spans="1:4" ht="14.25" x14ac:dyDescent="0.2">
      <c r="A43" s="38" t="str">
        <f>Source!E116</f>
        <v>21</v>
      </c>
      <c r="B43" s="39" t="str">
        <f>Source!G116</f>
        <v>Устройство подстилающих и выравнивающих слоев оснований из щебня</v>
      </c>
      <c r="C43" s="40" t="str">
        <f>Source!H116</f>
        <v>100 м3</v>
      </c>
      <c r="D43" s="41">
        <f>Source!I116</f>
        <v>8.5000000000000006E-2</v>
      </c>
    </row>
    <row r="44" spans="1:4" ht="28.5" x14ac:dyDescent="0.2">
      <c r="A44" s="38" t="str">
        <f>Source!E117</f>
        <v>22</v>
      </c>
      <c r="B44" s="39" t="str">
        <f>Source!G117</f>
        <v>Устройство покрытий из асфальтобетонных смесей вручную, толщина 4 см (до 5см)</v>
      </c>
      <c r="C44" s="40" t="str">
        <f>Source!H117</f>
        <v>100 м2</v>
      </c>
      <c r="D44" s="41">
        <f>Source!I117</f>
        <v>0.85</v>
      </c>
    </row>
    <row r="45" spans="1:4" ht="16.5" x14ac:dyDescent="0.25">
      <c r="A45" s="57" t="str">
        <f>CONCATENATE("Раздел: ", Source!G148)</f>
        <v>Раздел: Замена бортового камня</v>
      </c>
      <c r="B45" s="57"/>
      <c r="C45" s="57"/>
      <c r="D45" s="57"/>
    </row>
    <row r="46" spans="1:4" ht="16.5" x14ac:dyDescent="0.25">
      <c r="A46" s="57" t="str">
        <f>CONCATENATE("Подраздел: ", Source!G152)</f>
        <v>Подраздел: Замена дорожного бортового камня - 70,4м.п.</v>
      </c>
      <c r="B46" s="57"/>
      <c r="C46" s="57"/>
      <c r="D46" s="57"/>
    </row>
    <row r="47" spans="1:4" ht="14.25" x14ac:dyDescent="0.2">
      <c r="A47" s="38" t="str">
        <f>Source!E156</f>
        <v>23</v>
      </c>
      <c r="B47" s="39" t="str">
        <f>Source!G156</f>
        <v>Замена бортового камня бетонного во дворовых территориях</v>
      </c>
      <c r="C47" s="40" t="str">
        <f>Source!H156</f>
        <v>м</v>
      </c>
      <c r="D47" s="41">
        <f>Source!I156</f>
        <v>70.400000000000006</v>
      </c>
    </row>
    <row r="48" spans="1:4" ht="28.5" x14ac:dyDescent="0.2">
      <c r="A48" s="38" t="str">
        <f>Source!E157</f>
        <v>24</v>
      </c>
      <c r="B48" s="39" t="str">
        <f>Source!G157</f>
        <v>Перевозка строительного мусора автосамосвалами грузоподъемностью до 10 т на расстояние 1 км - при механизированной погрузке</v>
      </c>
      <c r="C48" s="40" t="str">
        <f>Source!H157</f>
        <v>т</v>
      </c>
      <c r="D48" s="41">
        <f>Source!I157</f>
        <v>11.224500000000001</v>
      </c>
    </row>
    <row r="49" spans="1:4" ht="28.5" x14ac:dyDescent="0.2">
      <c r="A49" s="38" t="str">
        <f>Source!E158</f>
        <v>25</v>
      </c>
      <c r="B49" s="39" t="str">
        <f>Source!G158</f>
        <v>Перевозка строительного мусора автосамосвалами грузоподъемностью до 10 т - добавляется на каждый последующий 1 км до 100 км</v>
      </c>
      <c r="C49" s="40" t="str">
        <f>Source!H158</f>
        <v>т</v>
      </c>
      <c r="D49" s="41">
        <f>Source!I158</f>
        <v>11.224500000000001</v>
      </c>
    </row>
    <row r="50" spans="1:4" ht="16.5" x14ac:dyDescent="0.25">
      <c r="A50" s="57" t="str">
        <f>CONCATENATE("Подраздел: ", Source!G189)</f>
        <v>Подраздел: Замена садового бортового камня - 440м.п.</v>
      </c>
      <c r="B50" s="57"/>
      <c r="C50" s="57"/>
      <c r="D50" s="57"/>
    </row>
    <row r="51" spans="1:4" ht="28.5" x14ac:dyDescent="0.2">
      <c r="A51" s="38" t="str">
        <f>Source!E193</f>
        <v>26</v>
      </c>
      <c r="B51" s="39" t="str">
        <f>Source!G193</f>
        <v>Разборка бортовых камней бетонных газонных и садовых марка 2ГБ 60.8.20, цвет серый, при цементобетонных покрытиях</v>
      </c>
      <c r="C51" s="40" t="str">
        <f>Source!H193</f>
        <v>100 м</v>
      </c>
      <c r="D51" s="41">
        <f>Source!I193</f>
        <v>4.4000000000000004</v>
      </c>
    </row>
    <row r="52" spans="1:4" ht="28.5" x14ac:dyDescent="0.2">
      <c r="A52" s="38" t="str">
        <f>Source!E194</f>
        <v>27</v>
      </c>
      <c r="B52" s="39" t="str">
        <f>Source!G194</f>
        <v>Механизированная погрузка строительного мусора в автомобили-самосвалы</v>
      </c>
      <c r="C52" s="40" t="str">
        <f>Source!H194</f>
        <v>т</v>
      </c>
      <c r="D52" s="41">
        <f>Source!I194</f>
        <v>14.2555</v>
      </c>
    </row>
    <row r="53" spans="1:4" ht="28.5" x14ac:dyDescent="0.2">
      <c r="A53" s="38" t="str">
        <f>Source!E195</f>
        <v>28</v>
      </c>
      <c r="B53" s="39" t="str">
        <f>Source!G195</f>
        <v>Перевозка строительного мусора автосамосвалами грузоподъемностью до 10 т на расстояние 1 км - при механизированной погрузке</v>
      </c>
      <c r="C53" s="40" t="str">
        <f>Source!H195</f>
        <v>т</v>
      </c>
      <c r="D53" s="41">
        <f>Source!I195</f>
        <v>14.2555</v>
      </c>
    </row>
    <row r="54" spans="1:4" ht="28.5" x14ac:dyDescent="0.2">
      <c r="A54" s="38" t="str">
        <f>Source!E196</f>
        <v>29</v>
      </c>
      <c r="B54" s="39" t="str">
        <f>Source!G196</f>
        <v>Перевозка строительного мусора автосамосвалами грузоподъемностью до 10 т - добавляется на каждый последующий 1 км до 100 км</v>
      </c>
      <c r="C54" s="40" t="str">
        <f>Source!H196</f>
        <v>т</v>
      </c>
      <c r="D54" s="41">
        <f>Source!I196</f>
        <v>14.2555</v>
      </c>
    </row>
    <row r="55" spans="1:4" ht="28.5" x14ac:dyDescent="0.2">
      <c r="A55" s="38" t="str">
        <f>Source!E197</f>
        <v>30</v>
      </c>
      <c r="B55" s="39" t="str">
        <f>Source!G197</f>
        <v>Установка бортовых камней бетонных газонных и садовых марка 2ГБ 60.8.20, цвет серый, при цементобетонных покрытиях</v>
      </c>
      <c r="C55" s="40" t="str">
        <f>Source!H197</f>
        <v>100 м</v>
      </c>
      <c r="D55" s="41">
        <f>Source!I197</f>
        <v>4.4000000000000004</v>
      </c>
    </row>
    <row r="56" spans="1:4" ht="16.5" x14ac:dyDescent="0.25">
      <c r="A56" s="57" t="str">
        <f>CONCATENATE("Раздел: ", Source!G257)</f>
        <v>Раздел: Устройство площадки ПДД - 85,7м2</v>
      </c>
      <c r="B56" s="57"/>
      <c r="C56" s="57"/>
      <c r="D56" s="57"/>
    </row>
    <row r="57" spans="1:4" ht="28.5" x14ac:dyDescent="0.2">
      <c r="A57" s="38" t="str">
        <f>Source!E261</f>
        <v>31</v>
      </c>
      <c r="B57" s="39" t="str">
        <f>Source!G261</f>
        <v>Разработка грунта с погрузкой на автомобили-самосвалы экскаваторами с ковшом вместимостью 0,8 м3, группа грунтов 1-3</v>
      </c>
      <c r="C57" s="40" t="str">
        <f>Source!H261</f>
        <v>100 м3</v>
      </c>
      <c r="D57" s="41">
        <f>Source!I261</f>
        <v>0.30852000000000002</v>
      </c>
    </row>
    <row r="58" spans="1:4" ht="28.5" x14ac:dyDescent="0.2">
      <c r="A58" s="38" t="str">
        <f>Source!E262</f>
        <v>32</v>
      </c>
      <c r="B58" s="39" t="str">
        <f>Source!G262</f>
        <v>Перевозка грунта автосамосвалами грузоподъемностью до 10 т на расстояние 1 км</v>
      </c>
      <c r="C58" s="40" t="str">
        <f>Source!H262</f>
        <v>м3</v>
      </c>
      <c r="D58" s="41">
        <f>Source!I262</f>
        <v>30.852</v>
      </c>
    </row>
    <row r="59" spans="1:4" ht="28.5" x14ac:dyDescent="0.2">
      <c r="A59" s="38" t="str">
        <f>Source!E263</f>
        <v>33</v>
      </c>
      <c r="B59" s="39" t="str">
        <f>Source!G263</f>
        <v>Перевозка грунта автосамосвалами грузоподъемностью до 10 т - добавляется на каждый последующий 1 км до 100 км (к поз. 49-3401-1-1)</v>
      </c>
      <c r="C59" s="40" t="str">
        <f>Source!H263</f>
        <v>м3</v>
      </c>
      <c r="D59" s="41">
        <f>Source!I263</f>
        <v>30.852</v>
      </c>
    </row>
    <row r="60" spans="1:4" ht="14.25" x14ac:dyDescent="0.2">
      <c r="A60" s="38" t="str">
        <f>Source!E264</f>
        <v>34</v>
      </c>
      <c r="B60" s="39" t="str">
        <f>Source!G264</f>
        <v>Устройство подстилающих и выравнивающих слоев оснований из песка</v>
      </c>
      <c r="C60" s="40" t="str">
        <f>Source!H264</f>
        <v>100 м3</v>
      </c>
      <c r="D60" s="41">
        <f>Source!I264</f>
        <v>8.5699999999999998E-2</v>
      </c>
    </row>
    <row r="61" spans="1:4" ht="14.25" x14ac:dyDescent="0.2">
      <c r="A61" s="38" t="str">
        <f>Source!E265</f>
        <v>35</v>
      </c>
      <c r="B61" s="39" t="str">
        <f>Source!G265</f>
        <v>Устройство подстилающих и выравнивающих слоев оснований из щебня</v>
      </c>
      <c r="C61" s="40" t="str">
        <f>Source!H265</f>
        <v>100 м3</v>
      </c>
      <c r="D61" s="41">
        <f>Source!I265</f>
        <v>8.5699999999999998E-2</v>
      </c>
    </row>
    <row r="62" spans="1:4" ht="28.5" x14ac:dyDescent="0.2">
      <c r="A62" s="38" t="str">
        <f>Source!E266</f>
        <v>36</v>
      </c>
      <c r="B62" s="39" t="str">
        <f>Source!G266</f>
        <v>Устройство покрытий из асфальтобетонных смесей вручную, толщина 4 см (до 5см)</v>
      </c>
      <c r="C62" s="40" t="str">
        <f>Source!H266</f>
        <v>100 м2</v>
      </c>
      <c r="D62" s="41">
        <f>Source!I266</f>
        <v>0.85699999999999998</v>
      </c>
    </row>
    <row r="63" spans="1:4" ht="28.5" x14ac:dyDescent="0.2">
      <c r="A63" s="38" t="str">
        <f>Source!E267</f>
        <v>37</v>
      </c>
      <c r="B63" s="39" t="str">
        <f>Source!G267</f>
        <v>Устройство наливного полиуретанового покрытия спортивных площадок и беговых дорожек толщиной 10 мм</v>
      </c>
      <c r="C63" s="40" t="str">
        <f>Source!H267</f>
        <v>100 м2</v>
      </c>
      <c r="D63" s="41">
        <f>Source!I267</f>
        <v>0.85699999999999998</v>
      </c>
    </row>
    <row r="64" spans="1:4" ht="28.5" x14ac:dyDescent="0.2">
      <c r="A64" s="38" t="str">
        <f>Source!E268</f>
        <v>38</v>
      </c>
      <c r="B64" s="39" t="str">
        <f>Source!G268</f>
        <v>Устройство наливного полиуретанового покрытия спортивных площадок и беговых дорожек, добавляется на 2 мм толщины покрытия</v>
      </c>
      <c r="C64" s="40" t="str">
        <f>Source!H268</f>
        <v>100 м2</v>
      </c>
      <c r="D64" s="41">
        <f>Source!I268</f>
        <v>0.85699999999999998</v>
      </c>
    </row>
    <row r="65" spans="1:4" ht="28.5" x14ac:dyDescent="0.2">
      <c r="A65" s="38" t="str">
        <f>Source!E269</f>
        <v>39</v>
      </c>
      <c r="B65" s="39" t="str">
        <f>Source!G269</f>
        <v>Нанесение линии дорожной разметки краской, линия продольная, сплошная, краска белая</v>
      </c>
      <c r="C65" s="40" t="str">
        <f>Source!H269</f>
        <v>м2</v>
      </c>
      <c r="D65" s="41">
        <f>Source!I269</f>
        <v>20</v>
      </c>
    </row>
    <row r="66" spans="1:4" ht="16.5" x14ac:dyDescent="0.25">
      <c r="A66" s="57" t="str">
        <f>CONCATENATE("Раздел: ", Source!G300)</f>
        <v>Раздел: Устройство резинового покрытия на детских площадках - 1099м2</v>
      </c>
      <c r="B66" s="57"/>
      <c r="C66" s="57"/>
      <c r="D66" s="57"/>
    </row>
    <row r="67" spans="1:4" ht="28.5" x14ac:dyDescent="0.2">
      <c r="A67" s="38" t="str">
        <f>Source!E304</f>
        <v>40</v>
      </c>
      <c r="B67" s="39" t="str">
        <f>Source!G304</f>
        <v>Разработка грунта с погрузкой на автомобили-самосвалы экскаваторами с ковшом вместимостью 0,8 м3, группа грунтов 1-3</v>
      </c>
      <c r="C67" s="40" t="str">
        <f>Source!H304</f>
        <v>100 м3</v>
      </c>
      <c r="D67" s="41">
        <f>Source!I304</f>
        <v>3.9563999999999999</v>
      </c>
    </row>
    <row r="68" spans="1:4" ht="28.5" x14ac:dyDescent="0.2">
      <c r="A68" s="38" t="str">
        <f>Source!E305</f>
        <v>41</v>
      </c>
      <c r="B68" s="39" t="str">
        <f>Source!G305</f>
        <v>Перевозка грунта автосамосвалами грузоподъемностью до 10 т на расстояние 1 км</v>
      </c>
      <c r="C68" s="40" t="str">
        <f>Source!H305</f>
        <v>м3</v>
      </c>
      <c r="D68" s="41">
        <f>Source!I305</f>
        <v>125.587</v>
      </c>
    </row>
    <row r="69" spans="1:4" ht="28.5" x14ac:dyDescent="0.2">
      <c r="A69" s="38" t="str">
        <f>Source!E306</f>
        <v>42</v>
      </c>
      <c r="B69" s="39" t="str">
        <f>Source!G306</f>
        <v>Перевозка грунта автосамосвалами грузоподъемностью до 10 т - добавляется на каждый последующий 1 км до 100 км (к поз. 49-3401-1-1)</v>
      </c>
      <c r="C69" s="40" t="str">
        <f>Source!H306</f>
        <v>м3</v>
      </c>
      <c r="D69" s="41">
        <f>Source!I306</f>
        <v>125.587</v>
      </c>
    </row>
    <row r="70" spans="1:4" ht="14.25" x14ac:dyDescent="0.2">
      <c r="A70" s="38" t="str">
        <f>Source!E307</f>
        <v>43</v>
      </c>
      <c r="B70" s="39" t="str">
        <f>Source!G307</f>
        <v>Устройство подстилающих и выравнивающих слоев оснований из песка</v>
      </c>
      <c r="C70" s="40" t="str">
        <f>Source!H307</f>
        <v>100 м3</v>
      </c>
      <c r="D70" s="41">
        <f>Source!I307</f>
        <v>1.099</v>
      </c>
    </row>
    <row r="71" spans="1:4" ht="14.25" x14ac:dyDescent="0.2">
      <c r="A71" s="38" t="str">
        <f>Source!E308</f>
        <v>44</v>
      </c>
      <c r="B71" s="39" t="str">
        <f>Source!G308</f>
        <v>Устройство подстилающих и выравнивающих слоев оснований из щебня</v>
      </c>
      <c r="C71" s="40" t="str">
        <f>Source!H308</f>
        <v>100 м3</v>
      </c>
      <c r="D71" s="41">
        <f>Source!I308</f>
        <v>1.099</v>
      </c>
    </row>
    <row r="72" spans="1:4" ht="28.5" x14ac:dyDescent="0.2">
      <c r="A72" s="38" t="str">
        <f>Source!E309</f>
        <v>45</v>
      </c>
      <c r="B72" s="39" t="str">
        <f>Source!G309</f>
        <v>Устройство покрытий из асфальтобетонных смесей вручную, толщина 4 см (до 5см)</v>
      </c>
      <c r="C72" s="40" t="str">
        <f>Source!H309</f>
        <v>100 м2</v>
      </c>
      <c r="D72" s="41">
        <f>Source!I309</f>
        <v>10.99</v>
      </c>
    </row>
    <row r="73" spans="1:4" ht="28.5" x14ac:dyDescent="0.2">
      <c r="A73" s="38" t="str">
        <f>Source!E310</f>
        <v>46</v>
      </c>
      <c r="B73" s="39" t="str">
        <f>Source!G310</f>
        <v>Устройство наливного полиуретанового покрытия спортивных площадок и беговых дорожек толщиной 10 мм</v>
      </c>
      <c r="C73" s="40" t="str">
        <f>Source!H310</f>
        <v>100 м2</v>
      </c>
      <c r="D73" s="41">
        <f>Source!I310</f>
        <v>10.99</v>
      </c>
    </row>
    <row r="74" spans="1:4" ht="28.5" x14ac:dyDescent="0.2">
      <c r="A74" s="38" t="str">
        <f>Source!E311</f>
        <v>47</v>
      </c>
      <c r="B74" s="39" t="str">
        <f>Source!G311</f>
        <v>Устройство наливного полиуретанового покрытия спортивных площадок и беговых дорожек, добавляется на 2 мм толщины покрытия</v>
      </c>
      <c r="C74" s="40" t="str">
        <f>Source!H311</f>
        <v>100 м2</v>
      </c>
      <c r="D74" s="41">
        <f>Source!I311</f>
        <v>10.99</v>
      </c>
    </row>
    <row r="75" spans="1:4" ht="28.5" x14ac:dyDescent="0.2">
      <c r="A75" s="38" t="str">
        <f>Source!E312</f>
        <v>48</v>
      </c>
      <c r="B75" s="39" t="str">
        <f>Source!G312</f>
        <v>Нанесение линии дорожной разметки краской, линия продольная, сплошная, краска белая</v>
      </c>
      <c r="C75" s="40" t="str">
        <f>Source!H312</f>
        <v>м2</v>
      </c>
      <c r="D75" s="41">
        <f>Source!I312</f>
        <v>156</v>
      </c>
    </row>
    <row r="76" spans="1:4" ht="16.5" x14ac:dyDescent="0.25">
      <c r="A76" s="57" t="str">
        <f>CONCATENATE("Раздел: ", Source!G343)</f>
        <v>Раздел: Устройство прыжковой ямы и полиуретановой дорожки</v>
      </c>
      <c r="B76" s="57"/>
      <c r="C76" s="57"/>
      <c r="D76" s="57"/>
    </row>
    <row r="77" spans="1:4" ht="28.5" x14ac:dyDescent="0.2">
      <c r="A77" s="38" t="str">
        <f>Source!E347</f>
        <v>49</v>
      </c>
      <c r="B77" s="39" t="str">
        <f>Source!G347</f>
        <v>Разработка грунта с погрузкой на автомобили-самосвалы экскаваторами с ковшом вместимостью 0,8 м3, группа грунтов 1-3</v>
      </c>
      <c r="C77" s="40" t="str">
        <f>Source!H347</f>
        <v>100 м3</v>
      </c>
      <c r="D77" s="41">
        <f>Source!I347</f>
        <v>2.8799999999999999E-2</v>
      </c>
    </row>
    <row r="78" spans="1:4" ht="28.5" x14ac:dyDescent="0.2">
      <c r="A78" s="38" t="str">
        <f>Source!E348</f>
        <v>50</v>
      </c>
      <c r="B78" s="39" t="str">
        <f>Source!G348</f>
        <v>Перевозка грунта автосамосвалами грузоподъемностью до 10 т на расстояние 1 км</v>
      </c>
      <c r="C78" s="40" t="str">
        <f>Source!H348</f>
        <v>м3</v>
      </c>
      <c r="D78" s="41">
        <f>Source!I348</f>
        <v>2.8799800000000002</v>
      </c>
    </row>
    <row r="79" spans="1:4" ht="28.5" x14ac:dyDescent="0.2">
      <c r="A79" s="38" t="str">
        <f>Source!E349</f>
        <v>51</v>
      </c>
      <c r="B79" s="39" t="str">
        <f>Source!G349</f>
        <v>Перевозка грунта автосамосвалами грузоподъемностью до 10 т - добавляется на каждый последующий 1 км до 100 км (к поз. 49-3401-1-1)</v>
      </c>
      <c r="C79" s="40" t="str">
        <f>Source!H349</f>
        <v>м3</v>
      </c>
      <c r="D79" s="41">
        <f>Source!I349</f>
        <v>2.8799800000000002</v>
      </c>
    </row>
    <row r="80" spans="1:4" ht="14.25" x14ac:dyDescent="0.2">
      <c r="A80" s="38" t="str">
        <f>Source!E350</f>
        <v>52</v>
      </c>
      <c r="B80" s="39" t="str">
        <f>Source!G350</f>
        <v>Устройство подстилающих и выравнивающих слоев оснований из песка</v>
      </c>
      <c r="C80" s="40" t="str">
        <f>Source!H350</f>
        <v>100 м3</v>
      </c>
      <c r="D80" s="41">
        <f>Source!I350</f>
        <v>8.0000000000000002E-3</v>
      </c>
    </row>
    <row r="81" spans="1:5" ht="14.25" x14ac:dyDescent="0.2">
      <c r="A81" s="38" t="str">
        <f>Source!E351</f>
        <v>53</v>
      </c>
      <c r="B81" s="39" t="str">
        <f>Source!G351</f>
        <v>Устройство подстилающих и выравнивающих слоев оснований из щебня</v>
      </c>
      <c r="C81" s="40" t="str">
        <f>Source!H351</f>
        <v>100 м3</v>
      </c>
      <c r="D81" s="41">
        <f>Source!I351</f>
        <v>8.0000000000000002E-3</v>
      </c>
    </row>
    <row r="82" spans="1:5" ht="28.5" x14ac:dyDescent="0.2">
      <c r="A82" s="38" t="str">
        <f>Source!E352</f>
        <v>54</v>
      </c>
      <c r="B82" s="39" t="str">
        <f>Source!G352</f>
        <v>Устройство покрытий из асфальтобетонных смесей вручную, толщина 4 см (до 5см)</v>
      </c>
      <c r="C82" s="40" t="str">
        <f>Source!H352</f>
        <v>100 м2</v>
      </c>
      <c r="D82" s="41">
        <f>Source!I352</f>
        <v>0.08</v>
      </c>
    </row>
    <row r="83" spans="1:5" ht="28.5" x14ac:dyDescent="0.2">
      <c r="A83" s="38" t="str">
        <f>Source!E353</f>
        <v>55</v>
      </c>
      <c r="B83" s="39" t="str">
        <f>Source!G353</f>
        <v>Устройство наливного полиуретанового покрытия спортивных площадок и беговых дорожек толщиной 10 мм</v>
      </c>
      <c r="C83" s="40" t="str">
        <f>Source!H353</f>
        <v>100 м2</v>
      </c>
      <c r="D83" s="41">
        <f>Source!I353</f>
        <v>0.08</v>
      </c>
    </row>
    <row r="84" spans="1:5" ht="28.5" x14ac:dyDescent="0.2">
      <c r="A84" s="38" t="str">
        <f>Source!E354</f>
        <v>56</v>
      </c>
      <c r="B84" s="39" t="str">
        <f>Source!G354</f>
        <v>Устройство наливного полиуретанового покрытия спортивных площадок и беговых дорожек, добавляется на 2 мм толщины покрытия</v>
      </c>
      <c r="C84" s="40" t="str">
        <f>Source!H354</f>
        <v>100 м2</v>
      </c>
      <c r="D84" s="41">
        <f>Source!I354</f>
        <v>0.08</v>
      </c>
    </row>
    <row r="85" spans="1:5" ht="14.25" x14ac:dyDescent="0.2">
      <c r="A85" s="38" t="str">
        <f>Source!E355</f>
        <v>57</v>
      </c>
      <c r="B85" s="39" t="str">
        <f>Source!G355</f>
        <v>Устройство корыта глубиной 40 см вручную Прим. (прыжковая яма)</v>
      </c>
      <c r="C85" s="40" t="str">
        <f>Source!H355</f>
        <v>100 м2</v>
      </c>
      <c r="D85" s="41">
        <f>Source!I355</f>
        <v>0.08</v>
      </c>
    </row>
    <row r="86" spans="1:5" ht="14.25" x14ac:dyDescent="0.2">
      <c r="A86" s="34" t="str">
        <f>Source!E356</f>
        <v>58</v>
      </c>
      <c r="B86" s="35" t="str">
        <f>Source!G356</f>
        <v>Устройство подстилающих и выравнивающих слоев оснований из песка</v>
      </c>
      <c r="C86" s="36" t="str">
        <f>Source!H356</f>
        <v>100 м3</v>
      </c>
      <c r="D86" s="37">
        <f>Source!I356</f>
        <v>3.2000000000000001E-2</v>
      </c>
    </row>
    <row r="89" spans="1:5" ht="15" x14ac:dyDescent="0.25">
      <c r="A89" s="27" t="s">
        <v>378</v>
      </c>
      <c r="B89" s="27"/>
      <c r="C89" s="27" t="s">
        <v>379</v>
      </c>
      <c r="D89" s="27"/>
      <c r="E89" s="27"/>
    </row>
  </sheetData>
  <mergeCells count="14">
    <mergeCell ref="A20:D20"/>
    <mergeCell ref="C5:D5"/>
    <mergeCell ref="C7:D7"/>
    <mergeCell ref="A11:D11"/>
    <mergeCell ref="A12:D12"/>
    <mergeCell ref="A19:D19"/>
    <mergeCell ref="A66:D66"/>
    <mergeCell ref="A76:D76"/>
    <mergeCell ref="A29:D29"/>
    <mergeCell ref="A36:D36"/>
    <mergeCell ref="A45:D45"/>
    <mergeCell ref="A46:D46"/>
    <mergeCell ref="A50:D50"/>
    <mergeCell ref="A56:D56"/>
  </mergeCells>
  <pageMargins left="0.4" right="0.2" top="0.2" bottom="0.4" header="0.2" footer="0.2"/>
  <pageSetup paperSize="9" scale="87" fitToHeight="0" orientation="portrait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/>
  </sheetViews>
  <sheetFormatPr defaultRowHeight="12.75" x14ac:dyDescent="0.2"/>
  <sheetData>
    <row r="1" spans="1:17" x14ac:dyDescent="0.2">
      <c r="A1" t="s">
        <v>397</v>
      </c>
      <c r="B1" t="s">
        <v>398</v>
      </c>
      <c r="C1" t="s">
        <v>399</v>
      </c>
      <c r="D1" t="s">
        <v>400</v>
      </c>
      <c r="E1" t="s">
        <v>401</v>
      </c>
      <c r="F1" t="s">
        <v>402</v>
      </c>
      <c r="G1" t="s">
        <v>403</v>
      </c>
      <c r="H1" t="s">
        <v>404</v>
      </c>
      <c r="I1" t="s">
        <v>405</v>
      </c>
      <c r="J1" t="s">
        <v>406</v>
      </c>
    </row>
    <row r="2" spans="1:17" x14ac:dyDescent="0.2">
      <c r="A2">
        <v>1</v>
      </c>
      <c r="B2">
        <v>0</v>
      </c>
      <c r="C2">
        <v>0</v>
      </c>
      <c r="D2">
        <v>1</v>
      </c>
      <c r="E2">
        <v>1</v>
      </c>
      <c r="F2">
        <v>1</v>
      </c>
      <c r="G2">
        <v>1</v>
      </c>
      <c r="H2">
        <v>0</v>
      </c>
      <c r="I2">
        <v>1</v>
      </c>
      <c r="J2">
        <v>0</v>
      </c>
    </row>
    <row r="4" spans="1:17" x14ac:dyDescent="0.2">
      <c r="A4" t="s">
        <v>380</v>
      </c>
      <c r="B4" t="s">
        <v>381</v>
      </c>
      <c r="C4" t="s">
        <v>382</v>
      </c>
      <c r="D4" t="s">
        <v>383</v>
      </c>
      <c r="E4" t="s">
        <v>384</v>
      </c>
      <c r="F4" t="s">
        <v>385</v>
      </c>
      <c r="G4" t="s">
        <v>386</v>
      </c>
      <c r="H4" t="s">
        <v>387</v>
      </c>
      <c r="I4" t="s">
        <v>388</v>
      </c>
      <c r="J4" t="s">
        <v>389</v>
      </c>
      <c r="K4" t="s">
        <v>390</v>
      </c>
      <c r="L4" t="s">
        <v>391</v>
      </c>
      <c r="M4" t="s">
        <v>392</v>
      </c>
      <c r="N4" t="s">
        <v>393</v>
      </c>
      <c r="O4" t="s">
        <v>394</v>
      </c>
      <c r="P4" t="s">
        <v>395</v>
      </c>
      <c r="Q4" t="s">
        <v>396</v>
      </c>
    </row>
    <row r="6" spans="1:17" x14ac:dyDescent="0.2">
      <c r="A6">
        <f>Source!A20</f>
        <v>3</v>
      </c>
      <c r="B6">
        <v>20</v>
      </c>
      <c r="G6" t="str">
        <f>Source!G20</f>
        <v>Новая локальная смета</v>
      </c>
    </row>
    <row r="7" spans="1:17" x14ac:dyDescent="0.2">
      <c r="A7">
        <f>Source!A24</f>
        <v>4</v>
      </c>
      <c r="B7">
        <v>24</v>
      </c>
      <c r="G7" t="str">
        <f>Source!G24</f>
        <v>Ремонт асфальтобетонного покрытия - 730м2</v>
      </c>
    </row>
    <row r="8" spans="1:17" x14ac:dyDescent="0.2">
      <c r="A8">
        <f>Source!A33</f>
        <v>17</v>
      </c>
      <c r="C8">
        <v>3</v>
      </c>
      <c r="D8">
        <v>0</v>
      </c>
      <c r="E8">
        <f>SmtRes!AV20</f>
        <v>0</v>
      </c>
      <c r="F8" t="str">
        <f>SmtRes!I20</f>
        <v>21.1-25-13</v>
      </c>
      <c r="G8" t="str">
        <f>SmtRes!K20</f>
        <v>Вода</v>
      </c>
      <c r="H8" t="str">
        <f>SmtRes!O20</f>
        <v>м3</v>
      </c>
      <c r="I8">
        <f>SmtRes!Y20*Source!I33</f>
        <v>3.65</v>
      </c>
      <c r="J8">
        <f>SmtRes!AO20</f>
        <v>1</v>
      </c>
      <c r="K8">
        <f>ROUND(SmtRes!AE20, 6)</f>
        <v>28.77</v>
      </c>
      <c r="L8">
        <f>ROUND(I8*K8, 2)</f>
        <v>105.01</v>
      </c>
      <c r="M8">
        <f>ROUND(SmtRes!AA20, 6)</f>
        <v>28.77</v>
      </c>
      <c r="N8">
        <f>ROUND(I8*M8, 2)</f>
        <v>105.01</v>
      </c>
      <c r="O8">
        <f>SmtRes!X20</f>
        <v>-156220903</v>
      </c>
      <c r="P8">
        <v>-1826865761</v>
      </c>
      <c r="Q8">
        <v>-101232329</v>
      </c>
    </row>
    <row r="9" spans="1:17" x14ac:dyDescent="0.2">
      <c r="A9">
        <f>Source!A33</f>
        <v>17</v>
      </c>
      <c r="C9">
        <v>3</v>
      </c>
      <c r="D9">
        <v>0</v>
      </c>
      <c r="E9">
        <f>SmtRes!AV19</f>
        <v>0</v>
      </c>
      <c r="F9" t="str">
        <f>SmtRes!I19</f>
        <v>21.1-12-10</v>
      </c>
      <c r="G9" t="str">
        <f>SmtRes!K19</f>
        <v>Песок для дорожных работ, рядовой</v>
      </c>
      <c r="H9" t="str">
        <f>SmtRes!O19</f>
        <v>м3</v>
      </c>
      <c r="I9">
        <f>SmtRes!Y19*Source!I33</f>
        <v>80.3</v>
      </c>
      <c r="J9">
        <f>SmtRes!AO19</f>
        <v>1</v>
      </c>
      <c r="K9">
        <f>ROUND(SmtRes!AE19, 6)</f>
        <v>559.23</v>
      </c>
      <c r="L9">
        <f>ROUND(I9*K9, 2)</f>
        <v>44906.17</v>
      </c>
      <c r="M9">
        <f>ROUND(SmtRes!AA19, 6)</f>
        <v>559.23</v>
      </c>
      <c r="N9">
        <f>ROUND(I9*M9, 2)</f>
        <v>44906.17</v>
      </c>
      <c r="O9">
        <f>SmtRes!X19</f>
        <v>-1431983879</v>
      </c>
      <c r="P9">
        <v>2144121690</v>
      </c>
      <c r="Q9">
        <v>-1404278575</v>
      </c>
    </row>
    <row r="10" spans="1:17" x14ac:dyDescent="0.2">
      <c r="A10">
        <f>Source!A34</f>
        <v>17</v>
      </c>
      <c r="C10">
        <v>3</v>
      </c>
      <c r="D10">
        <v>0</v>
      </c>
      <c r="E10">
        <f>SmtRes!AV29</f>
        <v>0</v>
      </c>
      <c r="F10" t="str">
        <f>SmtRes!I29</f>
        <v>21.1-25-13</v>
      </c>
      <c r="G10" t="str">
        <f>SmtRes!K29</f>
        <v>Вода</v>
      </c>
      <c r="H10" t="str">
        <f>SmtRes!O29</f>
        <v>м3</v>
      </c>
      <c r="I10">
        <f>SmtRes!Y29*Source!I34</f>
        <v>5.1099999999999994</v>
      </c>
      <c r="J10">
        <f>SmtRes!AO29</f>
        <v>1</v>
      </c>
      <c r="K10">
        <f>ROUND(SmtRes!AE29, 6)</f>
        <v>28.77</v>
      </c>
      <c r="L10">
        <f>ROUND(I10*K10, 2)</f>
        <v>147.01</v>
      </c>
      <c r="M10">
        <f>ROUND(SmtRes!AA29, 6)</f>
        <v>28.77</v>
      </c>
      <c r="N10">
        <f>ROUND(I10*M10, 2)</f>
        <v>147.01</v>
      </c>
      <c r="O10">
        <f>SmtRes!X29</f>
        <v>-156220903</v>
      </c>
      <c r="P10">
        <v>-1826865761</v>
      </c>
      <c r="Q10">
        <v>-101232329</v>
      </c>
    </row>
    <row r="11" spans="1:17" x14ac:dyDescent="0.2">
      <c r="A11">
        <f>Source!A34</f>
        <v>17</v>
      </c>
      <c r="C11">
        <v>3</v>
      </c>
      <c r="D11">
        <v>0</v>
      </c>
      <c r="E11">
        <f>SmtRes!AV28</f>
        <v>0</v>
      </c>
      <c r="F11" t="str">
        <f>SmtRes!I28</f>
        <v>21.1-12-36</v>
      </c>
      <c r="G11" t="str">
        <f>SmtRes!K28</f>
        <v>Щебень из естественного камня для строительных работ, марка 1200-800, фракция 20-40 мм</v>
      </c>
      <c r="H11" t="str">
        <f>SmtRes!O28</f>
        <v>м3</v>
      </c>
      <c r="I11">
        <f>SmtRes!Y28*Source!I34</f>
        <v>91.98</v>
      </c>
      <c r="J11">
        <f>SmtRes!AO28</f>
        <v>1</v>
      </c>
      <c r="K11">
        <f>ROUND(SmtRes!AE28, 6)</f>
        <v>1910.98</v>
      </c>
      <c r="L11">
        <f>ROUND(I11*K11, 2)</f>
        <v>175771.94</v>
      </c>
      <c r="M11">
        <f>ROUND(SmtRes!AA28, 6)</f>
        <v>1910.98</v>
      </c>
      <c r="N11">
        <f>ROUND(I11*M11, 2)</f>
        <v>175771.94</v>
      </c>
      <c r="O11">
        <f>SmtRes!X28</f>
        <v>812099054</v>
      </c>
      <c r="P11">
        <v>134113051</v>
      </c>
      <c r="Q11">
        <v>-2076826296</v>
      </c>
    </row>
    <row r="12" spans="1:17" x14ac:dyDescent="0.2">
      <c r="A12">
        <f>Source!A35</f>
        <v>17</v>
      </c>
      <c r="C12">
        <v>3</v>
      </c>
      <c r="D12">
        <v>0</v>
      </c>
      <c r="E12">
        <f>SmtRes!AV33</f>
        <v>0</v>
      </c>
      <c r="F12" t="str">
        <f>SmtRes!I33</f>
        <v>21.3-3-18</v>
      </c>
      <c r="G12" t="str">
        <f>SmtRes!K33</f>
        <v>Смеси асфальтобетонные дорожные горячие мелкозернистые, марка I, тип Б</v>
      </c>
      <c r="H12" t="str">
        <f>SmtRes!O33</f>
        <v>т</v>
      </c>
      <c r="I12">
        <f>SmtRes!Y33*Source!I35</f>
        <v>87.41749999999999</v>
      </c>
      <c r="J12">
        <f>SmtRes!AO33</f>
        <v>1</v>
      </c>
      <c r="K12">
        <f>ROUND(SmtRes!AE33, 6)</f>
        <v>2314.4499999999998</v>
      </c>
      <c r="L12">
        <f>ROUND(I12*K12, 2)</f>
        <v>202323.43</v>
      </c>
      <c r="M12">
        <f>ROUND(SmtRes!AA33, 6)</f>
        <v>2314.4499999999998</v>
      </c>
      <c r="N12">
        <f>ROUND(I12*M12, 2)</f>
        <v>202323.43</v>
      </c>
      <c r="O12">
        <f>SmtRes!X33</f>
        <v>58957476</v>
      </c>
      <c r="P12">
        <v>-2054370954</v>
      </c>
      <c r="Q12">
        <v>188851784</v>
      </c>
    </row>
    <row r="13" spans="1:17" x14ac:dyDescent="0.2">
      <c r="A13">
        <f>Source!A66</f>
        <v>4</v>
      </c>
      <c r="B13">
        <v>66</v>
      </c>
      <c r="G13" t="str">
        <f>Source!G66</f>
        <v>Устройство асфальтобетонного покрытия - 13м2</v>
      </c>
    </row>
    <row r="14" spans="1:17" x14ac:dyDescent="0.2">
      <c r="A14">
        <f>Source!A73</f>
        <v>17</v>
      </c>
      <c r="C14">
        <v>3</v>
      </c>
      <c r="D14">
        <v>0</v>
      </c>
      <c r="E14">
        <f>SmtRes!AV46</f>
        <v>0</v>
      </c>
      <c r="F14" t="str">
        <f>SmtRes!I46</f>
        <v>21.1-25-13</v>
      </c>
      <c r="G14" t="str">
        <f>SmtRes!K46</f>
        <v>Вода</v>
      </c>
      <c r="H14" t="str">
        <f>SmtRes!O46</f>
        <v>м3</v>
      </c>
      <c r="I14">
        <f>SmtRes!Y46*Source!I73</f>
        <v>6.5000000000000002E-2</v>
      </c>
      <c r="J14">
        <f>SmtRes!AO46</f>
        <v>1</v>
      </c>
      <c r="K14">
        <f>ROUND(SmtRes!AE46, 6)</f>
        <v>28.77</v>
      </c>
      <c r="L14">
        <f>ROUND(I14*K14, 2)</f>
        <v>1.87</v>
      </c>
      <c r="M14">
        <f>ROUND(SmtRes!AA46, 6)</f>
        <v>28.77</v>
      </c>
      <c r="N14">
        <f>ROUND(I14*M14, 2)</f>
        <v>1.87</v>
      </c>
      <c r="O14">
        <f>SmtRes!X46</f>
        <v>-156220903</v>
      </c>
      <c r="P14">
        <v>-1826865761</v>
      </c>
      <c r="Q14">
        <v>-101232329</v>
      </c>
    </row>
    <row r="15" spans="1:17" x14ac:dyDescent="0.2">
      <c r="A15">
        <f>Source!A73</f>
        <v>17</v>
      </c>
      <c r="C15">
        <v>3</v>
      </c>
      <c r="D15">
        <v>0</v>
      </c>
      <c r="E15">
        <f>SmtRes!AV45</f>
        <v>0</v>
      </c>
      <c r="F15" t="str">
        <f>SmtRes!I45</f>
        <v>21.1-12-10</v>
      </c>
      <c r="G15" t="str">
        <f>SmtRes!K45</f>
        <v>Песок для дорожных работ, рядовой</v>
      </c>
      <c r="H15" t="str">
        <f>SmtRes!O45</f>
        <v>м3</v>
      </c>
      <c r="I15">
        <f>SmtRes!Y45*Source!I73</f>
        <v>1.43</v>
      </c>
      <c r="J15">
        <f>SmtRes!AO45</f>
        <v>1</v>
      </c>
      <c r="K15">
        <f>ROUND(SmtRes!AE45, 6)</f>
        <v>559.23</v>
      </c>
      <c r="L15">
        <f>ROUND(I15*K15, 2)</f>
        <v>799.7</v>
      </c>
      <c r="M15">
        <f>ROUND(SmtRes!AA45, 6)</f>
        <v>559.23</v>
      </c>
      <c r="N15">
        <f>ROUND(I15*M15, 2)</f>
        <v>799.7</v>
      </c>
      <c r="O15">
        <f>SmtRes!X45</f>
        <v>-1431983879</v>
      </c>
      <c r="P15">
        <v>2144121690</v>
      </c>
      <c r="Q15">
        <v>-1404278575</v>
      </c>
    </row>
    <row r="16" spans="1:17" x14ac:dyDescent="0.2">
      <c r="A16">
        <f>Source!A74</f>
        <v>17</v>
      </c>
      <c r="C16">
        <v>3</v>
      </c>
      <c r="D16">
        <v>0</v>
      </c>
      <c r="E16">
        <f>SmtRes!AV55</f>
        <v>0</v>
      </c>
      <c r="F16" t="str">
        <f>SmtRes!I55</f>
        <v>21.1-25-13</v>
      </c>
      <c r="G16" t="str">
        <f>SmtRes!K55</f>
        <v>Вода</v>
      </c>
      <c r="H16" t="str">
        <f>SmtRes!O55</f>
        <v>м3</v>
      </c>
      <c r="I16">
        <f>SmtRes!Y55*Source!I74</f>
        <v>9.0999999999999998E-2</v>
      </c>
      <c r="J16">
        <f>SmtRes!AO55</f>
        <v>1</v>
      </c>
      <c r="K16">
        <f>ROUND(SmtRes!AE55, 6)</f>
        <v>28.77</v>
      </c>
      <c r="L16">
        <f>ROUND(I16*K16, 2)</f>
        <v>2.62</v>
      </c>
      <c r="M16">
        <f>ROUND(SmtRes!AA55, 6)</f>
        <v>28.77</v>
      </c>
      <c r="N16">
        <f>ROUND(I16*M16, 2)</f>
        <v>2.62</v>
      </c>
      <c r="O16">
        <f>SmtRes!X55</f>
        <v>-156220903</v>
      </c>
      <c r="P16">
        <v>-1826865761</v>
      </c>
      <c r="Q16">
        <v>-101232329</v>
      </c>
    </row>
    <row r="17" spans="1:17" x14ac:dyDescent="0.2">
      <c r="A17">
        <f>Source!A74</f>
        <v>17</v>
      </c>
      <c r="C17">
        <v>3</v>
      </c>
      <c r="D17">
        <v>0</v>
      </c>
      <c r="E17">
        <f>SmtRes!AV54</f>
        <v>0</v>
      </c>
      <c r="F17" t="str">
        <f>SmtRes!I54</f>
        <v>21.1-12-36</v>
      </c>
      <c r="G17" t="str">
        <f>SmtRes!K54</f>
        <v>Щебень из естественного камня для строительных работ, марка 1200-800, фракция 20-40 мм</v>
      </c>
      <c r="H17" t="str">
        <f>SmtRes!O54</f>
        <v>м3</v>
      </c>
      <c r="I17">
        <f>SmtRes!Y54*Source!I74</f>
        <v>1.6379999999999999</v>
      </c>
      <c r="J17">
        <f>SmtRes!AO54</f>
        <v>1</v>
      </c>
      <c r="K17">
        <f>ROUND(SmtRes!AE54, 6)</f>
        <v>1910.98</v>
      </c>
      <c r="L17">
        <f>ROUND(I17*K17, 2)</f>
        <v>3130.19</v>
      </c>
      <c r="M17">
        <f>ROUND(SmtRes!AA54, 6)</f>
        <v>1910.98</v>
      </c>
      <c r="N17">
        <f>ROUND(I17*M17, 2)</f>
        <v>3130.19</v>
      </c>
      <c r="O17">
        <f>SmtRes!X54</f>
        <v>812099054</v>
      </c>
      <c r="P17">
        <v>134113051</v>
      </c>
      <c r="Q17">
        <v>-2076826296</v>
      </c>
    </row>
    <row r="18" spans="1:17" x14ac:dyDescent="0.2">
      <c r="A18">
        <f>Source!A75</f>
        <v>17</v>
      </c>
      <c r="C18">
        <v>3</v>
      </c>
      <c r="D18">
        <v>0</v>
      </c>
      <c r="E18">
        <f>SmtRes!AV59</f>
        <v>0</v>
      </c>
      <c r="F18" t="str">
        <f>SmtRes!I59</f>
        <v>21.3-3-18</v>
      </c>
      <c r="G18" t="str">
        <f>SmtRes!K59</f>
        <v>Смеси асфальтобетонные дорожные горячие мелкозернистые, марка I, тип Б</v>
      </c>
      <c r="H18" t="str">
        <f>SmtRes!O59</f>
        <v>т</v>
      </c>
      <c r="I18">
        <f>SmtRes!Y59*Source!I75</f>
        <v>1.5567500000000001</v>
      </c>
      <c r="J18">
        <f>SmtRes!AO59</f>
        <v>1</v>
      </c>
      <c r="K18">
        <f>ROUND(SmtRes!AE59, 6)</f>
        <v>2314.4499999999998</v>
      </c>
      <c r="L18">
        <f>ROUND(I18*K18, 2)</f>
        <v>3603.02</v>
      </c>
      <c r="M18">
        <f>ROUND(SmtRes!AA59, 6)</f>
        <v>2314.4499999999998</v>
      </c>
      <c r="N18">
        <f>ROUND(I18*M18, 2)</f>
        <v>3603.02</v>
      </c>
      <c r="O18">
        <f>SmtRes!X59</f>
        <v>58957476</v>
      </c>
      <c r="P18">
        <v>-2054370954</v>
      </c>
      <c r="Q18">
        <v>188851784</v>
      </c>
    </row>
    <row r="19" spans="1:17" x14ac:dyDescent="0.2">
      <c r="A19">
        <f>Source!A106</f>
        <v>4</v>
      </c>
      <c r="B19">
        <v>106</v>
      </c>
      <c r="G19" t="str">
        <f>Source!G106</f>
        <v>Ремонт отмостки - 85м2</v>
      </c>
    </row>
    <row r="20" spans="1:17" x14ac:dyDescent="0.2">
      <c r="A20">
        <f>Source!A115</f>
        <v>17</v>
      </c>
      <c r="C20">
        <v>3</v>
      </c>
      <c r="D20">
        <v>0</v>
      </c>
      <c r="E20">
        <f>SmtRes!AV79</f>
        <v>0</v>
      </c>
      <c r="F20" t="str">
        <f>SmtRes!I79</f>
        <v>21.1-25-13</v>
      </c>
      <c r="G20" t="str">
        <f>SmtRes!K79</f>
        <v>Вода</v>
      </c>
      <c r="H20" t="str">
        <f>SmtRes!O79</f>
        <v>м3</v>
      </c>
      <c r="I20">
        <f>SmtRes!Y79*Source!I115</f>
        <v>0.42500000000000004</v>
      </c>
      <c r="J20">
        <f>SmtRes!AO79</f>
        <v>1</v>
      </c>
      <c r="K20">
        <f>ROUND(SmtRes!AE79, 6)</f>
        <v>28.77</v>
      </c>
      <c r="L20">
        <f>ROUND(I20*K20, 2)</f>
        <v>12.23</v>
      </c>
      <c r="M20">
        <f>ROUND(SmtRes!AA79, 6)</f>
        <v>28.77</v>
      </c>
      <c r="N20">
        <f>ROUND(I20*M20, 2)</f>
        <v>12.23</v>
      </c>
      <c r="O20">
        <f>SmtRes!X79</f>
        <v>-156220903</v>
      </c>
      <c r="P20">
        <v>-1826865761</v>
      </c>
      <c r="Q20">
        <v>-101232329</v>
      </c>
    </row>
    <row r="21" spans="1:17" x14ac:dyDescent="0.2">
      <c r="A21">
        <f>Source!A115</f>
        <v>17</v>
      </c>
      <c r="C21">
        <v>3</v>
      </c>
      <c r="D21">
        <v>0</v>
      </c>
      <c r="E21">
        <f>SmtRes!AV78</f>
        <v>0</v>
      </c>
      <c r="F21" t="str">
        <f>SmtRes!I78</f>
        <v>21.1-12-10</v>
      </c>
      <c r="G21" t="str">
        <f>SmtRes!K78</f>
        <v>Песок для дорожных работ, рядовой</v>
      </c>
      <c r="H21" t="str">
        <f>SmtRes!O78</f>
        <v>м3</v>
      </c>
      <c r="I21">
        <f>SmtRes!Y78*Source!I115</f>
        <v>9.3500000000000014</v>
      </c>
      <c r="J21">
        <f>SmtRes!AO78</f>
        <v>1</v>
      </c>
      <c r="K21">
        <f>ROUND(SmtRes!AE78, 6)</f>
        <v>559.23</v>
      </c>
      <c r="L21">
        <f>ROUND(I21*K21, 2)</f>
        <v>5228.8</v>
      </c>
      <c r="M21">
        <f>ROUND(SmtRes!AA78, 6)</f>
        <v>559.23</v>
      </c>
      <c r="N21">
        <f>ROUND(I21*M21, 2)</f>
        <v>5228.8</v>
      </c>
      <c r="O21">
        <f>SmtRes!X78</f>
        <v>-1431983879</v>
      </c>
      <c r="P21">
        <v>2144121690</v>
      </c>
      <c r="Q21">
        <v>-1404278575</v>
      </c>
    </row>
    <row r="22" spans="1:17" x14ac:dyDescent="0.2">
      <c r="A22">
        <f>Source!A116</f>
        <v>17</v>
      </c>
      <c r="C22">
        <v>3</v>
      </c>
      <c r="D22">
        <v>0</v>
      </c>
      <c r="E22">
        <f>SmtRes!AV88</f>
        <v>0</v>
      </c>
      <c r="F22" t="str">
        <f>SmtRes!I88</f>
        <v>21.1-25-13</v>
      </c>
      <c r="G22" t="str">
        <f>SmtRes!K88</f>
        <v>Вода</v>
      </c>
      <c r="H22" t="str">
        <f>SmtRes!O88</f>
        <v>м3</v>
      </c>
      <c r="I22">
        <f>SmtRes!Y88*Source!I116</f>
        <v>0.59500000000000008</v>
      </c>
      <c r="J22">
        <f>SmtRes!AO88</f>
        <v>1</v>
      </c>
      <c r="K22">
        <f>ROUND(SmtRes!AE88, 6)</f>
        <v>28.77</v>
      </c>
      <c r="L22">
        <f>ROUND(I22*K22, 2)</f>
        <v>17.12</v>
      </c>
      <c r="M22">
        <f>ROUND(SmtRes!AA88, 6)</f>
        <v>28.77</v>
      </c>
      <c r="N22">
        <f>ROUND(I22*M22, 2)</f>
        <v>17.12</v>
      </c>
      <c r="O22">
        <f>SmtRes!X88</f>
        <v>-156220903</v>
      </c>
      <c r="P22">
        <v>-1826865761</v>
      </c>
      <c r="Q22">
        <v>-101232329</v>
      </c>
    </row>
    <row r="23" spans="1:17" x14ac:dyDescent="0.2">
      <c r="A23">
        <f>Source!A116</f>
        <v>17</v>
      </c>
      <c r="C23">
        <v>3</v>
      </c>
      <c r="D23">
        <v>0</v>
      </c>
      <c r="E23">
        <f>SmtRes!AV87</f>
        <v>0</v>
      </c>
      <c r="F23" t="str">
        <f>SmtRes!I87</f>
        <v>21.1-12-36</v>
      </c>
      <c r="G23" t="str">
        <f>SmtRes!K87</f>
        <v>Щебень из естественного камня для строительных работ, марка 1200-800, фракция 20-40 мм</v>
      </c>
      <c r="H23" t="str">
        <f>SmtRes!O87</f>
        <v>м3</v>
      </c>
      <c r="I23">
        <f>SmtRes!Y87*Source!I116</f>
        <v>10.71</v>
      </c>
      <c r="J23">
        <f>SmtRes!AO87</f>
        <v>1</v>
      </c>
      <c r="K23">
        <f>ROUND(SmtRes!AE87, 6)</f>
        <v>1910.98</v>
      </c>
      <c r="L23">
        <f>ROUND(I23*K23, 2)</f>
        <v>20466.599999999999</v>
      </c>
      <c r="M23">
        <f>ROUND(SmtRes!AA87, 6)</f>
        <v>1910.98</v>
      </c>
      <c r="N23">
        <f>ROUND(I23*M23, 2)</f>
        <v>20466.599999999999</v>
      </c>
      <c r="O23">
        <f>SmtRes!X87</f>
        <v>812099054</v>
      </c>
      <c r="P23">
        <v>134113051</v>
      </c>
      <c r="Q23">
        <v>-2076826296</v>
      </c>
    </row>
    <row r="24" spans="1:17" x14ac:dyDescent="0.2">
      <c r="A24">
        <f>Source!A117</f>
        <v>17</v>
      </c>
      <c r="C24">
        <v>3</v>
      </c>
      <c r="D24">
        <v>0</v>
      </c>
      <c r="E24">
        <f>SmtRes!AV92</f>
        <v>0</v>
      </c>
      <c r="F24" t="str">
        <f>SmtRes!I92</f>
        <v>21.3-3-18</v>
      </c>
      <c r="G24" t="str">
        <f>SmtRes!K92</f>
        <v>Смеси асфальтобетонные дорожные горячие мелкозернистые, марка I, тип Б</v>
      </c>
      <c r="H24" t="str">
        <f>SmtRes!O92</f>
        <v>т</v>
      </c>
      <c r="I24">
        <f>SmtRes!Y92*Source!I117</f>
        <v>10.178749999999999</v>
      </c>
      <c r="J24">
        <f>SmtRes!AO92</f>
        <v>1</v>
      </c>
      <c r="K24">
        <f>ROUND(SmtRes!AE92, 6)</f>
        <v>2314.4499999999998</v>
      </c>
      <c r="L24">
        <f>ROUND(I24*K24, 2)</f>
        <v>23558.21</v>
      </c>
      <c r="M24">
        <f>ROUND(SmtRes!AA92, 6)</f>
        <v>2314.4499999999998</v>
      </c>
      <c r="N24">
        <f>ROUND(I24*M24, 2)</f>
        <v>23558.21</v>
      </c>
      <c r="O24">
        <f>SmtRes!X92</f>
        <v>58957476</v>
      </c>
      <c r="P24">
        <v>-2054370954</v>
      </c>
      <c r="Q24">
        <v>188851784</v>
      </c>
    </row>
    <row r="25" spans="1:17" x14ac:dyDescent="0.2">
      <c r="A25">
        <f>Source!A148</f>
        <v>4</v>
      </c>
      <c r="B25">
        <v>148</v>
      </c>
      <c r="G25" t="str">
        <f>Source!G148</f>
        <v>Замена бортового камня</v>
      </c>
    </row>
    <row r="26" spans="1:17" x14ac:dyDescent="0.2">
      <c r="A26">
        <f>Source!A152</f>
        <v>5</v>
      </c>
      <c r="B26">
        <v>152</v>
      </c>
      <c r="G26" t="str">
        <f>Source!G152</f>
        <v>Замена дорожного бортового камня - 70,4м.п.</v>
      </c>
    </row>
    <row r="27" spans="1:17" x14ac:dyDescent="0.2">
      <c r="A27">
        <f>Source!A156</f>
        <v>17</v>
      </c>
      <c r="C27">
        <v>3</v>
      </c>
      <c r="D27">
        <v>0</v>
      </c>
      <c r="E27">
        <f>SmtRes!AV100</f>
        <v>0</v>
      </c>
      <c r="F27" t="str">
        <f>SmtRes!I100</f>
        <v>21.5-3-13</v>
      </c>
      <c r="G27" t="str">
        <f>SmtRes!K100</f>
        <v>Камни бетонные бортовые, марка БР 100.30.15</v>
      </c>
      <c r="H27" t="str">
        <f>SmtRes!O100</f>
        <v>м3</v>
      </c>
      <c r="I27">
        <f>SmtRes!Y100*Source!I156</f>
        <v>3.0694400000000002</v>
      </c>
      <c r="J27">
        <f>SmtRes!AO100</f>
        <v>1</v>
      </c>
      <c r="K27">
        <f>ROUND(SmtRes!AE100, 6)</f>
        <v>5979.89</v>
      </c>
      <c r="L27">
        <f>ROUND(I27*K27, 2)</f>
        <v>18354.91</v>
      </c>
      <c r="M27">
        <f>ROUND(SmtRes!AA100, 6)</f>
        <v>5979.89</v>
      </c>
      <c r="N27">
        <f>ROUND(I27*M27, 2)</f>
        <v>18354.91</v>
      </c>
      <c r="O27">
        <f>SmtRes!X100</f>
        <v>989350498</v>
      </c>
      <c r="P27">
        <v>1903964416</v>
      </c>
      <c r="Q27">
        <v>-1944301660</v>
      </c>
    </row>
    <row r="28" spans="1:17" x14ac:dyDescent="0.2">
      <c r="A28">
        <f>Source!A156</f>
        <v>17</v>
      </c>
      <c r="C28">
        <v>3</v>
      </c>
      <c r="D28">
        <v>0</v>
      </c>
      <c r="E28">
        <f>SmtRes!AV99</f>
        <v>0</v>
      </c>
      <c r="F28" t="str">
        <f>SmtRes!I99</f>
        <v>21.3-2-15</v>
      </c>
      <c r="G28" t="str">
        <f>SmtRes!K99</f>
        <v>Растворы цементные, марка 100</v>
      </c>
      <c r="H28" t="str">
        <f>SmtRes!O99</f>
        <v>м3</v>
      </c>
      <c r="I28">
        <f>SmtRes!Y99*Source!I156</f>
        <v>0.42240000000000005</v>
      </c>
      <c r="J28">
        <f>SmtRes!AO99</f>
        <v>1</v>
      </c>
      <c r="K28">
        <f>ROUND(SmtRes!AE99, 6)</f>
        <v>2914.58</v>
      </c>
      <c r="L28">
        <f>ROUND(I28*K28, 2)</f>
        <v>1231.1199999999999</v>
      </c>
      <c r="M28">
        <f>ROUND(SmtRes!AA99, 6)</f>
        <v>2914.58</v>
      </c>
      <c r="N28">
        <f>ROUND(I28*M28, 2)</f>
        <v>1231.1199999999999</v>
      </c>
      <c r="O28">
        <f>SmtRes!X99</f>
        <v>-1647091918</v>
      </c>
      <c r="P28">
        <v>-285611691</v>
      </c>
      <c r="Q28">
        <v>-710159848</v>
      </c>
    </row>
    <row r="29" spans="1:17" x14ac:dyDescent="0.2">
      <c r="A29">
        <f>Source!A156</f>
        <v>17</v>
      </c>
      <c r="C29">
        <v>3</v>
      </c>
      <c r="D29">
        <v>0</v>
      </c>
      <c r="E29">
        <f>SmtRes!AV98</f>
        <v>0</v>
      </c>
      <c r="F29" t="str">
        <f>SmtRes!I98</f>
        <v>21.3-1-36</v>
      </c>
      <c r="G29" t="str">
        <f>SmtRes!K98</f>
        <v>Смеси бетонные, БСГ, тяжелого бетона на гранитном щебне фракция 20-40 для инженерных коммуникаций и дорог, класс прочности: В15 (М200); П1, F100, W2</v>
      </c>
      <c r="H29" t="str">
        <f>SmtRes!O98</f>
        <v>м3</v>
      </c>
      <c r="I29">
        <f>SmtRes!Y98*Source!I156</f>
        <v>4.1536</v>
      </c>
      <c r="J29">
        <f>SmtRes!AO98</f>
        <v>1</v>
      </c>
      <c r="K29">
        <f>ROUND(SmtRes!AE98, 6)</f>
        <v>3532.91</v>
      </c>
      <c r="L29">
        <f>ROUND(I29*K29, 2)</f>
        <v>14674.29</v>
      </c>
      <c r="M29">
        <f>ROUND(SmtRes!AA98, 6)</f>
        <v>3532.91</v>
      </c>
      <c r="N29">
        <f>ROUND(I29*M29, 2)</f>
        <v>14674.29</v>
      </c>
      <c r="O29">
        <f>SmtRes!X98</f>
        <v>-753266197</v>
      </c>
      <c r="P29">
        <v>1874978901</v>
      </c>
      <c r="Q29">
        <v>624856402</v>
      </c>
    </row>
    <row r="30" spans="1:17" x14ac:dyDescent="0.2">
      <c r="A30">
        <f>Source!A189</f>
        <v>5</v>
      </c>
      <c r="B30">
        <v>189</v>
      </c>
      <c r="G30" t="str">
        <f>Source!G189</f>
        <v>Замена садового бортового камня - 440м.п.</v>
      </c>
    </row>
    <row r="31" spans="1:17" x14ac:dyDescent="0.2">
      <c r="A31">
        <f>Source!A193</f>
        <v>17</v>
      </c>
      <c r="C31">
        <v>3</v>
      </c>
      <c r="D31">
        <v>0</v>
      </c>
      <c r="E31">
        <f>SmtRes!AV110</f>
        <v>0</v>
      </c>
      <c r="F31" t="str">
        <f>SmtRes!I110</f>
        <v>21.5-3-9</v>
      </c>
      <c r="G31" t="str">
        <f>SmtRes!K110</f>
        <v>Камни бетонные бортовые газонные, марка 2ГБ 60.8.20, цвет серый</v>
      </c>
      <c r="H31" t="str">
        <f>SmtRes!O110</f>
        <v>м3</v>
      </c>
      <c r="I31">
        <f>SmtRes!Y110*Source!I193</f>
        <v>7.0400000000000009</v>
      </c>
      <c r="J31">
        <f>SmtRes!AO110</f>
        <v>1</v>
      </c>
      <c r="K31">
        <f>ROUND(SmtRes!AE110, 6)</f>
        <v>8526.86</v>
      </c>
      <c r="L31">
        <f t="shared" ref="L31:L36" si="0">ROUND(I31*K31, 2)</f>
        <v>60029.09</v>
      </c>
      <c r="M31">
        <f>ROUND(SmtRes!AA110, 6)</f>
        <v>8526.86</v>
      </c>
      <c r="N31">
        <f t="shared" ref="N31:N36" si="1">ROUND(I31*M31, 2)</f>
        <v>60029.09</v>
      </c>
      <c r="O31">
        <f>SmtRes!X110</f>
        <v>-714644841</v>
      </c>
      <c r="P31">
        <v>-628270669</v>
      </c>
      <c r="Q31">
        <v>-1502632616</v>
      </c>
    </row>
    <row r="32" spans="1:17" x14ac:dyDescent="0.2">
      <c r="A32">
        <f>Source!A193</f>
        <v>17</v>
      </c>
      <c r="C32">
        <v>3</v>
      </c>
      <c r="D32">
        <v>0</v>
      </c>
      <c r="E32">
        <f>SmtRes!AV109</f>
        <v>0</v>
      </c>
      <c r="F32" t="str">
        <f>SmtRes!I109</f>
        <v>21.3-2-15</v>
      </c>
      <c r="G32" t="str">
        <f>SmtRes!K109</f>
        <v>Растворы цементные, марка 100</v>
      </c>
      <c r="H32" t="str">
        <f>SmtRes!O109</f>
        <v>м3</v>
      </c>
      <c r="I32">
        <f>SmtRes!Y109*Source!I193</f>
        <v>8.8000000000000009E-2</v>
      </c>
      <c r="J32">
        <f>SmtRes!AO109</f>
        <v>1</v>
      </c>
      <c r="K32">
        <f>ROUND(SmtRes!AE109, 6)</f>
        <v>2914.58</v>
      </c>
      <c r="L32">
        <f t="shared" si="0"/>
        <v>256.48</v>
      </c>
      <c r="M32">
        <f>ROUND(SmtRes!AA109, 6)</f>
        <v>2914.58</v>
      </c>
      <c r="N32">
        <f t="shared" si="1"/>
        <v>256.48</v>
      </c>
      <c r="O32">
        <f>SmtRes!X109</f>
        <v>-1647091918</v>
      </c>
      <c r="P32">
        <v>-285611691</v>
      </c>
      <c r="Q32">
        <v>-710159848</v>
      </c>
    </row>
    <row r="33" spans="1:17" x14ac:dyDescent="0.2">
      <c r="A33">
        <f>Source!A193</f>
        <v>17</v>
      </c>
      <c r="C33">
        <v>3</v>
      </c>
      <c r="D33">
        <v>0</v>
      </c>
      <c r="E33">
        <f>SmtRes!AV108</f>
        <v>0</v>
      </c>
      <c r="F33" t="str">
        <f>SmtRes!I108</f>
        <v>21.3-1-69</v>
      </c>
      <c r="G33" t="str">
        <f>SmtRes!K108</f>
        <v>Смеси бетонные, БСГ, тяжелого бетона на гранитном щебне, класс прочности: В15 (М200); П3, фракция 5-20, F50-100, W0-2</v>
      </c>
      <c r="H33" t="str">
        <f>SmtRes!O108</f>
        <v>м3</v>
      </c>
      <c r="I33">
        <f>SmtRes!Y108*Source!I193</f>
        <v>18.920000000000002</v>
      </c>
      <c r="J33">
        <f>SmtRes!AO108</f>
        <v>1</v>
      </c>
      <c r="K33">
        <f>ROUND(SmtRes!AE108, 6)</f>
        <v>3471.23</v>
      </c>
      <c r="L33">
        <f t="shared" si="0"/>
        <v>65675.67</v>
      </c>
      <c r="M33">
        <f>ROUND(SmtRes!AA108, 6)</f>
        <v>3471.23</v>
      </c>
      <c r="N33">
        <f t="shared" si="1"/>
        <v>65675.67</v>
      </c>
      <c r="O33">
        <f>SmtRes!X108</f>
        <v>-1694027702</v>
      </c>
      <c r="P33">
        <v>-526827190</v>
      </c>
      <c r="Q33">
        <v>-14122590</v>
      </c>
    </row>
    <row r="34" spans="1:17" x14ac:dyDescent="0.2">
      <c r="A34">
        <f>Source!A197</f>
        <v>17</v>
      </c>
      <c r="C34">
        <v>3</v>
      </c>
      <c r="D34">
        <v>0</v>
      </c>
      <c r="E34">
        <f>SmtRes!AV120</f>
        <v>0</v>
      </c>
      <c r="F34" t="str">
        <f>SmtRes!I120</f>
        <v>21.5-3-9</v>
      </c>
      <c r="G34" t="str">
        <f>SmtRes!K120</f>
        <v>Камни бетонные бортовые газонные, марка 2ГБ 60.8.20, цвет серый</v>
      </c>
      <c r="H34" t="str">
        <f>SmtRes!O120</f>
        <v>м3</v>
      </c>
      <c r="I34">
        <f>SmtRes!Y120*Source!I197</f>
        <v>7.0400000000000009</v>
      </c>
      <c r="J34">
        <f>SmtRes!AO120</f>
        <v>1</v>
      </c>
      <c r="K34">
        <f>ROUND(SmtRes!AE120, 6)</f>
        <v>8526.86</v>
      </c>
      <c r="L34">
        <f t="shared" si="0"/>
        <v>60029.09</v>
      </c>
      <c r="M34">
        <f>ROUND(SmtRes!AA120, 6)</f>
        <v>8526.86</v>
      </c>
      <c r="N34">
        <f t="shared" si="1"/>
        <v>60029.09</v>
      </c>
      <c r="O34">
        <f>SmtRes!X120</f>
        <v>-714644841</v>
      </c>
      <c r="P34">
        <v>-628270669</v>
      </c>
      <c r="Q34">
        <v>-1502632616</v>
      </c>
    </row>
    <row r="35" spans="1:17" x14ac:dyDescent="0.2">
      <c r="A35">
        <f>Source!A197</f>
        <v>17</v>
      </c>
      <c r="C35">
        <v>3</v>
      </c>
      <c r="D35">
        <v>0</v>
      </c>
      <c r="E35">
        <f>SmtRes!AV119</f>
        <v>0</v>
      </c>
      <c r="F35" t="str">
        <f>SmtRes!I119</f>
        <v>21.3-2-15</v>
      </c>
      <c r="G35" t="str">
        <f>SmtRes!K119</f>
        <v>Растворы цементные, марка 100</v>
      </c>
      <c r="H35" t="str">
        <f>SmtRes!O119</f>
        <v>м3</v>
      </c>
      <c r="I35">
        <f>SmtRes!Y119*Source!I197</f>
        <v>8.8000000000000009E-2</v>
      </c>
      <c r="J35">
        <f>SmtRes!AO119</f>
        <v>1</v>
      </c>
      <c r="K35">
        <f>ROUND(SmtRes!AE119, 6)</f>
        <v>2914.58</v>
      </c>
      <c r="L35">
        <f t="shared" si="0"/>
        <v>256.48</v>
      </c>
      <c r="M35">
        <f>ROUND(SmtRes!AA119, 6)</f>
        <v>2914.58</v>
      </c>
      <c r="N35">
        <f t="shared" si="1"/>
        <v>256.48</v>
      </c>
      <c r="O35">
        <f>SmtRes!X119</f>
        <v>-1647091918</v>
      </c>
      <c r="P35">
        <v>-285611691</v>
      </c>
      <c r="Q35">
        <v>-710159848</v>
      </c>
    </row>
    <row r="36" spans="1:17" x14ac:dyDescent="0.2">
      <c r="A36">
        <f>Source!A197</f>
        <v>17</v>
      </c>
      <c r="C36">
        <v>3</v>
      </c>
      <c r="D36">
        <v>0</v>
      </c>
      <c r="E36">
        <f>SmtRes!AV118</f>
        <v>0</v>
      </c>
      <c r="F36" t="str">
        <f>SmtRes!I118</f>
        <v>21.3-1-69</v>
      </c>
      <c r="G36" t="str">
        <f>SmtRes!K118</f>
        <v>Смеси бетонные, БСГ, тяжелого бетона на гранитном щебне, класс прочности: В15 (М200); П3, фракция 5-20, F50-100, W0-2</v>
      </c>
      <c r="H36" t="str">
        <f>SmtRes!O118</f>
        <v>м3</v>
      </c>
      <c r="I36">
        <f>SmtRes!Y118*Source!I197</f>
        <v>18.920000000000002</v>
      </c>
      <c r="J36">
        <f>SmtRes!AO118</f>
        <v>1</v>
      </c>
      <c r="K36">
        <f>ROUND(SmtRes!AE118, 6)</f>
        <v>3471.23</v>
      </c>
      <c r="L36">
        <f t="shared" si="0"/>
        <v>65675.67</v>
      </c>
      <c r="M36">
        <f>ROUND(SmtRes!AA118, 6)</f>
        <v>3471.23</v>
      </c>
      <c r="N36">
        <f t="shared" si="1"/>
        <v>65675.67</v>
      </c>
      <c r="O36">
        <f>SmtRes!X118</f>
        <v>-1694027702</v>
      </c>
      <c r="P36">
        <v>-526827190</v>
      </c>
      <c r="Q36">
        <v>-14122590</v>
      </c>
    </row>
    <row r="37" spans="1:17" x14ac:dyDescent="0.2">
      <c r="A37">
        <f>Source!A257</f>
        <v>4</v>
      </c>
      <c r="B37">
        <v>257</v>
      </c>
      <c r="G37" t="str">
        <f>Source!G257</f>
        <v>Устройство площадки ПДД - 85,7м2</v>
      </c>
    </row>
    <row r="38" spans="1:17" x14ac:dyDescent="0.2">
      <c r="A38">
        <f>Source!A264</f>
        <v>17</v>
      </c>
      <c r="C38">
        <v>3</v>
      </c>
      <c r="D38">
        <v>0</v>
      </c>
      <c r="E38">
        <f>SmtRes!AV133</f>
        <v>0</v>
      </c>
      <c r="F38" t="str">
        <f>SmtRes!I133</f>
        <v>21.1-25-13</v>
      </c>
      <c r="G38" t="str">
        <f>SmtRes!K133</f>
        <v>Вода</v>
      </c>
      <c r="H38" t="str">
        <f>SmtRes!O133</f>
        <v>м3</v>
      </c>
      <c r="I38">
        <f>SmtRes!Y133*Source!I264</f>
        <v>0.42849999999999999</v>
      </c>
      <c r="J38">
        <f>SmtRes!AO133</f>
        <v>1</v>
      </c>
      <c r="K38">
        <f>ROUND(SmtRes!AE133, 6)</f>
        <v>28.77</v>
      </c>
      <c r="L38">
        <f t="shared" ref="L38:L51" si="2">ROUND(I38*K38, 2)</f>
        <v>12.33</v>
      </c>
      <c r="M38">
        <f>ROUND(SmtRes!AA133, 6)</f>
        <v>28.77</v>
      </c>
      <c r="N38">
        <f t="shared" ref="N38:N51" si="3">ROUND(I38*M38, 2)</f>
        <v>12.33</v>
      </c>
      <c r="O38">
        <f>SmtRes!X133</f>
        <v>-156220903</v>
      </c>
      <c r="P38">
        <v>-1826865761</v>
      </c>
      <c r="Q38">
        <v>-101232329</v>
      </c>
    </row>
    <row r="39" spans="1:17" x14ac:dyDescent="0.2">
      <c r="A39">
        <f>Source!A264</f>
        <v>17</v>
      </c>
      <c r="C39">
        <v>3</v>
      </c>
      <c r="D39">
        <v>0</v>
      </c>
      <c r="E39">
        <f>SmtRes!AV132</f>
        <v>0</v>
      </c>
      <c r="F39" t="str">
        <f>SmtRes!I132</f>
        <v>21.1-12-10</v>
      </c>
      <c r="G39" t="str">
        <f>SmtRes!K132</f>
        <v>Песок для дорожных работ, рядовой</v>
      </c>
      <c r="H39" t="str">
        <f>SmtRes!O132</f>
        <v>м3</v>
      </c>
      <c r="I39">
        <f>SmtRes!Y132*Source!I264</f>
        <v>9.4269999999999996</v>
      </c>
      <c r="J39">
        <f>SmtRes!AO132</f>
        <v>1</v>
      </c>
      <c r="K39">
        <f>ROUND(SmtRes!AE132, 6)</f>
        <v>559.23</v>
      </c>
      <c r="L39">
        <f t="shared" si="2"/>
        <v>5271.86</v>
      </c>
      <c r="M39">
        <f>ROUND(SmtRes!AA132, 6)</f>
        <v>559.23</v>
      </c>
      <c r="N39">
        <f t="shared" si="3"/>
        <v>5271.86</v>
      </c>
      <c r="O39">
        <f>SmtRes!X132</f>
        <v>-1431983879</v>
      </c>
      <c r="P39">
        <v>2144121690</v>
      </c>
      <c r="Q39">
        <v>-1404278575</v>
      </c>
    </row>
    <row r="40" spans="1:17" x14ac:dyDescent="0.2">
      <c r="A40">
        <f>Source!A265</f>
        <v>17</v>
      </c>
      <c r="C40">
        <v>3</v>
      </c>
      <c r="D40">
        <v>0</v>
      </c>
      <c r="E40">
        <f>SmtRes!AV142</f>
        <v>0</v>
      </c>
      <c r="F40" t="str">
        <f>SmtRes!I142</f>
        <v>21.1-25-13</v>
      </c>
      <c r="G40" t="str">
        <f>SmtRes!K142</f>
        <v>Вода</v>
      </c>
      <c r="H40" t="str">
        <f>SmtRes!O142</f>
        <v>м3</v>
      </c>
      <c r="I40">
        <f>SmtRes!Y142*Source!I265</f>
        <v>0.59989999999999999</v>
      </c>
      <c r="J40">
        <f>SmtRes!AO142</f>
        <v>1</v>
      </c>
      <c r="K40">
        <f>ROUND(SmtRes!AE142, 6)</f>
        <v>28.77</v>
      </c>
      <c r="L40">
        <f t="shared" si="2"/>
        <v>17.260000000000002</v>
      </c>
      <c r="M40">
        <f>ROUND(SmtRes!AA142, 6)</f>
        <v>28.77</v>
      </c>
      <c r="N40">
        <f t="shared" si="3"/>
        <v>17.260000000000002</v>
      </c>
      <c r="O40">
        <f>SmtRes!X142</f>
        <v>-156220903</v>
      </c>
      <c r="P40">
        <v>-1826865761</v>
      </c>
      <c r="Q40">
        <v>-101232329</v>
      </c>
    </row>
    <row r="41" spans="1:17" x14ac:dyDescent="0.2">
      <c r="A41">
        <f>Source!A265</f>
        <v>17</v>
      </c>
      <c r="C41">
        <v>3</v>
      </c>
      <c r="D41">
        <v>0</v>
      </c>
      <c r="E41">
        <f>SmtRes!AV141</f>
        <v>0</v>
      </c>
      <c r="F41" t="str">
        <f>SmtRes!I141</f>
        <v>21.1-12-36</v>
      </c>
      <c r="G41" t="str">
        <f>SmtRes!K141</f>
        <v>Щебень из естественного камня для строительных работ, марка 1200-800, фракция 20-40 мм</v>
      </c>
      <c r="H41" t="str">
        <f>SmtRes!O141</f>
        <v>м3</v>
      </c>
      <c r="I41">
        <f>SmtRes!Y141*Source!I265</f>
        <v>10.7982</v>
      </c>
      <c r="J41">
        <f>SmtRes!AO141</f>
        <v>1</v>
      </c>
      <c r="K41">
        <f>ROUND(SmtRes!AE141, 6)</f>
        <v>1910.98</v>
      </c>
      <c r="L41">
        <f t="shared" si="2"/>
        <v>20635.14</v>
      </c>
      <c r="M41">
        <f>ROUND(SmtRes!AA141, 6)</f>
        <v>1910.98</v>
      </c>
      <c r="N41">
        <f t="shared" si="3"/>
        <v>20635.14</v>
      </c>
      <c r="O41">
        <f>SmtRes!X141</f>
        <v>812099054</v>
      </c>
      <c r="P41">
        <v>134113051</v>
      </c>
      <c r="Q41">
        <v>-2076826296</v>
      </c>
    </row>
    <row r="42" spans="1:17" x14ac:dyDescent="0.2">
      <c r="A42">
        <f>Source!A266</f>
        <v>17</v>
      </c>
      <c r="C42">
        <v>3</v>
      </c>
      <c r="D42">
        <v>0</v>
      </c>
      <c r="E42">
        <f>SmtRes!AV146</f>
        <v>0</v>
      </c>
      <c r="F42" t="str">
        <f>SmtRes!I146</f>
        <v>21.3-3-18</v>
      </c>
      <c r="G42" t="str">
        <f>SmtRes!K146</f>
        <v>Смеси асфальтобетонные дорожные горячие мелкозернистые, марка I, тип Б</v>
      </c>
      <c r="H42" t="str">
        <f>SmtRes!O146</f>
        <v>т</v>
      </c>
      <c r="I42">
        <f>SmtRes!Y146*Source!I266</f>
        <v>10.262575</v>
      </c>
      <c r="J42">
        <f>SmtRes!AO146</f>
        <v>1</v>
      </c>
      <c r="K42">
        <f>ROUND(SmtRes!AE146, 6)</f>
        <v>2314.4499999999998</v>
      </c>
      <c r="L42">
        <f t="shared" si="2"/>
        <v>23752.22</v>
      </c>
      <c r="M42">
        <f>ROUND(SmtRes!AA146, 6)</f>
        <v>2314.4499999999998</v>
      </c>
      <c r="N42">
        <f t="shared" si="3"/>
        <v>23752.22</v>
      </c>
      <c r="O42">
        <f>SmtRes!X146</f>
        <v>58957476</v>
      </c>
      <c r="P42">
        <v>-2054370954</v>
      </c>
      <c r="Q42">
        <v>188851784</v>
      </c>
    </row>
    <row r="43" spans="1:17" x14ac:dyDescent="0.2">
      <c r="A43">
        <f>Source!A267</f>
        <v>17</v>
      </c>
      <c r="C43">
        <v>3</v>
      </c>
      <c r="D43">
        <v>0</v>
      </c>
      <c r="E43">
        <f>SmtRes!AV156</f>
        <v>0</v>
      </c>
      <c r="F43" t="str">
        <f>SmtRes!I156</f>
        <v>21.1-6-101</v>
      </c>
      <c r="G43" t="str">
        <f>SmtRes!K156</f>
        <v>Пигменты сухие для красок, кислотный желтый</v>
      </c>
      <c r="H43" t="str">
        <f>SmtRes!O156</f>
        <v>т</v>
      </c>
      <c r="I43">
        <f>SmtRes!Y156*Source!I267</f>
        <v>4.4992499999999998E-2</v>
      </c>
      <c r="J43">
        <f>SmtRes!AO156</f>
        <v>1</v>
      </c>
      <c r="K43">
        <f>ROUND(SmtRes!AE156, 6)</f>
        <v>360260.32</v>
      </c>
      <c r="L43">
        <f t="shared" si="2"/>
        <v>16209.01</v>
      </c>
      <c r="M43">
        <f>ROUND(SmtRes!AA156, 6)</f>
        <v>360260.32</v>
      </c>
      <c r="N43">
        <f t="shared" si="3"/>
        <v>16209.01</v>
      </c>
      <c r="O43">
        <f>SmtRes!X156</f>
        <v>-946191126</v>
      </c>
      <c r="P43">
        <v>924262723</v>
      </c>
      <c r="Q43">
        <v>-134482857</v>
      </c>
    </row>
    <row r="44" spans="1:17" x14ac:dyDescent="0.2">
      <c r="A44">
        <f>Source!A267</f>
        <v>17</v>
      </c>
      <c r="C44">
        <v>3</v>
      </c>
      <c r="D44">
        <v>0</v>
      </c>
      <c r="E44">
        <f>SmtRes!AV155</f>
        <v>0</v>
      </c>
      <c r="F44" t="str">
        <f>SmtRes!I155</f>
        <v>21.1-25-776</v>
      </c>
      <c r="G44" t="str">
        <f>SmtRes!K155</f>
        <v>Средство связующее универсальное полиуретановое на основе резиновой и каучуковой крошки для устройства высокопрочных эластичных покрытий</v>
      </c>
      <c r="H44" t="str">
        <f>SmtRes!O155</f>
        <v>кг</v>
      </c>
      <c r="I44">
        <f>SmtRes!Y155*Source!I267</f>
        <v>206.96549999999999</v>
      </c>
      <c r="J44">
        <f>SmtRes!AO155</f>
        <v>1</v>
      </c>
      <c r="K44">
        <f>ROUND(SmtRes!AE155, 6)</f>
        <v>175.18</v>
      </c>
      <c r="L44">
        <f t="shared" si="2"/>
        <v>36256.22</v>
      </c>
      <c r="M44">
        <f>ROUND(SmtRes!AA155, 6)</f>
        <v>175.18</v>
      </c>
      <c r="N44">
        <f t="shared" si="3"/>
        <v>36256.22</v>
      </c>
      <c r="O44">
        <f>SmtRes!X155</f>
        <v>1601901178</v>
      </c>
      <c r="P44">
        <v>-1726066032</v>
      </c>
      <c r="Q44">
        <v>1499598369</v>
      </c>
    </row>
    <row r="45" spans="1:17" x14ac:dyDescent="0.2">
      <c r="A45">
        <f>Source!A267</f>
        <v>17</v>
      </c>
      <c r="C45">
        <v>3</v>
      </c>
      <c r="D45">
        <v>0</v>
      </c>
      <c r="E45">
        <f>SmtRes!AV154</f>
        <v>0</v>
      </c>
      <c r="F45" t="str">
        <f>SmtRes!I154</f>
        <v>21.1-25-769</v>
      </c>
      <c r="G45" t="str">
        <f>SmtRes!K154</f>
        <v>Крошка резиновая гранулированная, фракция 2-3 мм</v>
      </c>
      <c r="H45" t="str">
        <f>SmtRes!O154</f>
        <v>кг</v>
      </c>
      <c r="I45">
        <f>SmtRes!Y154*Source!I267</f>
        <v>629.89499999999998</v>
      </c>
      <c r="J45">
        <f>SmtRes!AO154</f>
        <v>1</v>
      </c>
      <c r="K45">
        <f>ROUND(SmtRes!AE154, 6)</f>
        <v>20.03</v>
      </c>
      <c r="L45">
        <f t="shared" si="2"/>
        <v>12616.8</v>
      </c>
      <c r="M45">
        <f>ROUND(SmtRes!AA154, 6)</f>
        <v>20.03</v>
      </c>
      <c r="N45">
        <f t="shared" si="3"/>
        <v>12616.8</v>
      </c>
      <c r="O45">
        <f>SmtRes!X154</f>
        <v>-1646851010</v>
      </c>
      <c r="P45">
        <v>-1318317488</v>
      </c>
      <c r="Q45">
        <v>64334613</v>
      </c>
    </row>
    <row r="46" spans="1:17" x14ac:dyDescent="0.2">
      <c r="A46">
        <f>Source!A267</f>
        <v>17</v>
      </c>
      <c r="C46">
        <v>3</v>
      </c>
      <c r="D46">
        <v>0</v>
      </c>
      <c r="E46">
        <f>SmtRes!AV153</f>
        <v>0</v>
      </c>
      <c r="F46" t="str">
        <f>SmtRes!I153</f>
        <v>21.1-25-343</v>
      </c>
      <c r="G46" t="str">
        <f>SmtRes!K153</f>
        <v>Скипидар живичный</v>
      </c>
      <c r="H46" t="str">
        <f>SmtRes!O153</f>
        <v>т</v>
      </c>
      <c r="I46">
        <f>SmtRes!Y153*Source!I267</f>
        <v>2.6995499999999998E-3</v>
      </c>
      <c r="J46">
        <f>SmtRes!AO153</f>
        <v>1</v>
      </c>
      <c r="K46">
        <f>ROUND(SmtRes!AE153, 6)</f>
        <v>100975.39</v>
      </c>
      <c r="L46">
        <f t="shared" si="2"/>
        <v>272.58999999999997</v>
      </c>
      <c r="M46">
        <f>ROUND(SmtRes!AA153, 6)</f>
        <v>100975.39</v>
      </c>
      <c r="N46">
        <f t="shared" si="3"/>
        <v>272.58999999999997</v>
      </c>
      <c r="O46">
        <f>SmtRes!X153</f>
        <v>-837791969</v>
      </c>
      <c r="P46">
        <v>-1504264747</v>
      </c>
      <c r="Q46">
        <v>1343091473</v>
      </c>
    </row>
    <row r="47" spans="1:17" x14ac:dyDescent="0.2">
      <c r="A47">
        <f>Source!A267</f>
        <v>17</v>
      </c>
      <c r="C47">
        <v>3</v>
      </c>
      <c r="D47">
        <v>0</v>
      </c>
      <c r="E47">
        <f>SmtRes!AV152</f>
        <v>0</v>
      </c>
      <c r="F47" t="str">
        <f>SmtRes!I152</f>
        <v>21.1-25-255</v>
      </c>
      <c r="G47" t="str">
        <f>SmtRes!K152</f>
        <v>Пленка полиэтиленовая, толщина 0,12 - 0,15 мм</v>
      </c>
      <c r="H47" t="str">
        <f>SmtRes!O152</f>
        <v>м2</v>
      </c>
      <c r="I47">
        <f>SmtRes!Y152*Source!I267</f>
        <v>4.7991999999999999</v>
      </c>
      <c r="J47">
        <f>SmtRes!AO152</f>
        <v>1</v>
      </c>
      <c r="K47">
        <f>ROUND(SmtRes!AE152, 6)</f>
        <v>12.61</v>
      </c>
      <c r="L47">
        <f t="shared" si="2"/>
        <v>60.52</v>
      </c>
      <c r="M47">
        <f>ROUND(SmtRes!AA152, 6)</f>
        <v>12.61</v>
      </c>
      <c r="N47">
        <f t="shared" si="3"/>
        <v>60.52</v>
      </c>
      <c r="O47">
        <f>SmtRes!X152</f>
        <v>1535195253</v>
      </c>
      <c r="P47">
        <v>-1497362457</v>
      </c>
      <c r="Q47">
        <v>527232982</v>
      </c>
    </row>
    <row r="48" spans="1:17" x14ac:dyDescent="0.2">
      <c r="A48">
        <f>Source!A268</f>
        <v>17</v>
      </c>
      <c r="C48">
        <v>3</v>
      </c>
      <c r="D48">
        <v>0</v>
      </c>
      <c r="E48">
        <f>SmtRes!AV162</f>
        <v>0</v>
      </c>
      <c r="F48" t="str">
        <f>SmtRes!I162</f>
        <v>21.1-6-101</v>
      </c>
      <c r="G48" t="str">
        <f>SmtRes!K162</f>
        <v>Пигменты сухие для красок, кислотный желтый</v>
      </c>
      <c r="H48" t="str">
        <f>SmtRes!O162</f>
        <v>т</v>
      </c>
      <c r="I48">
        <f>SmtRes!Y162*Source!I268</f>
        <v>8.9984999999999996E-3</v>
      </c>
      <c r="J48">
        <f>SmtRes!AO162</f>
        <v>1</v>
      </c>
      <c r="K48">
        <f>ROUND(SmtRes!AE162, 6)</f>
        <v>360260.32</v>
      </c>
      <c r="L48">
        <f t="shared" si="2"/>
        <v>3241.8</v>
      </c>
      <c r="M48">
        <f>ROUND(SmtRes!AA162, 6)</f>
        <v>360260.32</v>
      </c>
      <c r="N48">
        <f t="shared" si="3"/>
        <v>3241.8</v>
      </c>
      <c r="O48">
        <f>SmtRes!X162</f>
        <v>-946191126</v>
      </c>
      <c r="P48">
        <v>924262723</v>
      </c>
      <c r="Q48">
        <v>-134482857</v>
      </c>
    </row>
    <row r="49" spans="1:17" x14ac:dyDescent="0.2">
      <c r="A49">
        <f>Source!A268</f>
        <v>17</v>
      </c>
      <c r="C49">
        <v>3</v>
      </c>
      <c r="D49">
        <v>0</v>
      </c>
      <c r="E49">
        <f>SmtRes!AV161</f>
        <v>0</v>
      </c>
      <c r="F49" t="str">
        <f>SmtRes!I161</f>
        <v>21.1-25-776</v>
      </c>
      <c r="G49" t="str">
        <f>SmtRes!K161</f>
        <v>Средство связующее универсальное полиуретановое на основе резиновой и каучуковой крошки для устройства высокопрочных эластичных покрытий</v>
      </c>
      <c r="H49" t="str">
        <f>SmtRes!O161</f>
        <v>кг</v>
      </c>
      <c r="I49">
        <f>SmtRes!Y161*Source!I268</f>
        <v>35.994</v>
      </c>
      <c r="J49">
        <f>SmtRes!AO161</f>
        <v>1</v>
      </c>
      <c r="K49">
        <f>ROUND(SmtRes!AE161, 6)</f>
        <v>175.18</v>
      </c>
      <c r="L49">
        <f t="shared" si="2"/>
        <v>6305.43</v>
      </c>
      <c r="M49">
        <f>ROUND(SmtRes!AA161, 6)</f>
        <v>175.18</v>
      </c>
      <c r="N49">
        <f t="shared" si="3"/>
        <v>6305.43</v>
      </c>
      <c r="O49">
        <f>SmtRes!X161</f>
        <v>1601901178</v>
      </c>
      <c r="P49">
        <v>-1726066032</v>
      </c>
      <c r="Q49">
        <v>1499598369</v>
      </c>
    </row>
    <row r="50" spans="1:17" x14ac:dyDescent="0.2">
      <c r="A50">
        <f>Source!A268</f>
        <v>17</v>
      </c>
      <c r="C50">
        <v>3</v>
      </c>
      <c r="D50">
        <v>0</v>
      </c>
      <c r="E50">
        <f>SmtRes!AV160</f>
        <v>0</v>
      </c>
      <c r="F50" t="str">
        <f>SmtRes!I160</f>
        <v>21.1-25-769</v>
      </c>
      <c r="G50" t="str">
        <f>SmtRes!K160</f>
        <v>Крошка резиновая гранулированная, фракция 2-3 мм</v>
      </c>
      <c r="H50" t="str">
        <f>SmtRes!O160</f>
        <v>кг</v>
      </c>
      <c r="I50">
        <f>SmtRes!Y160*Source!I268</f>
        <v>125.979</v>
      </c>
      <c r="J50">
        <f>SmtRes!AO160</f>
        <v>1</v>
      </c>
      <c r="K50">
        <f>ROUND(SmtRes!AE160, 6)</f>
        <v>20.03</v>
      </c>
      <c r="L50">
        <f t="shared" si="2"/>
        <v>2523.36</v>
      </c>
      <c r="M50">
        <f>ROUND(SmtRes!AA160, 6)</f>
        <v>20.03</v>
      </c>
      <c r="N50">
        <f t="shared" si="3"/>
        <v>2523.36</v>
      </c>
      <c r="O50">
        <f>SmtRes!X160</f>
        <v>-1646851010</v>
      </c>
      <c r="P50">
        <v>-1318317488</v>
      </c>
      <c r="Q50">
        <v>64334613</v>
      </c>
    </row>
    <row r="51" spans="1:17" x14ac:dyDescent="0.2">
      <c r="A51">
        <f>Source!A269</f>
        <v>17</v>
      </c>
      <c r="C51">
        <v>3</v>
      </c>
      <c r="D51">
        <v>0</v>
      </c>
      <c r="E51">
        <f>SmtRes!AV165</f>
        <v>0</v>
      </c>
      <c r="F51" t="str">
        <f>SmtRes!I165</f>
        <v>21.1-6-196</v>
      </c>
      <c r="G51" t="str">
        <f>SmtRes!K165</f>
        <v>Краски (без стеклошариков) дорожные белые, марка "Магистраль"</v>
      </c>
      <c r="H51" t="str">
        <f>SmtRes!O165</f>
        <v>т</v>
      </c>
      <c r="I51">
        <f>SmtRes!Y165*Source!I269</f>
        <v>1.06E-2</v>
      </c>
      <c r="J51">
        <f>SmtRes!AO165</f>
        <v>1</v>
      </c>
      <c r="K51">
        <f>ROUND(SmtRes!AE165, 6)</f>
        <v>84127.039999999994</v>
      </c>
      <c r="L51">
        <f t="shared" si="2"/>
        <v>891.75</v>
      </c>
      <c r="M51">
        <f>ROUND(SmtRes!AA165, 6)</f>
        <v>84127.039999999994</v>
      </c>
      <c r="N51">
        <f t="shared" si="3"/>
        <v>891.75</v>
      </c>
      <c r="O51">
        <f>SmtRes!X165</f>
        <v>704671994</v>
      </c>
      <c r="P51">
        <v>1270469798</v>
      </c>
      <c r="Q51">
        <v>2070703896</v>
      </c>
    </row>
    <row r="52" spans="1:17" x14ac:dyDescent="0.2">
      <c r="A52">
        <f>Source!A300</f>
        <v>4</v>
      </c>
      <c r="B52">
        <v>300</v>
      </c>
      <c r="G52" t="str">
        <f>Source!G300</f>
        <v>Устройство резинового покрытия на детских площадках - 1099м2</v>
      </c>
    </row>
    <row r="53" spans="1:17" x14ac:dyDescent="0.2">
      <c r="A53">
        <f>Source!A307</f>
        <v>17</v>
      </c>
      <c r="C53">
        <v>3</v>
      </c>
      <c r="D53">
        <v>0</v>
      </c>
      <c r="E53">
        <f>SmtRes!AV178</f>
        <v>0</v>
      </c>
      <c r="F53" t="str">
        <f>SmtRes!I178</f>
        <v>21.1-25-13</v>
      </c>
      <c r="G53" t="str">
        <f>SmtRes!K178</f>
        <v>Вода</v>
      </c>
      <c r="H53" t="str">
        <f>SmtRes!O178</f>
        <v>м3</v>
      </c>
      <c r="I53">
        <f>SmtRes!Y178*Source!I307</f>
        <v>5.4950000000000001</v>
      </c>
      <c r="J53">
        <f>SmtRes!AO178</f>
        <v>1</v>
      </c>
      <c r="K53">
        <f>ROUND(SmtRes!AE178, 6)</f>
        <v>28.77</v>
      </c>
      <c r="L53">
        <f t="shared" ref="L53:L66" si="4">ROUND(I53*K53, 2)</f>
        <v>158.09</v>
      </c>
      <c r="M53">
        <f>ROUND(SmtRes!AA178, 6)</f>
        <v>28.77</v>
      </c>
      <c r="N53">
        <f t="shared" ref="N53:N66" si="5">ROUND(I53*M53, 2)</f>
        <v>158.09</v>
      </c>
      <c r="O53">
        <f>SmtRes!X178</f>
        <v>-156220903</v>
      </c>
      <c r="P53">
        <v>-1826865761</v>
      </c>
      <c r="Q53">
        <v>-101232329</v>
      </c>
    </row>
    <row r="54" spans="1:17" x14ac:dyDescent="0.2">
      <c r="A54">
        <f>Source!A307</f>
        <v>17</v>
      </c>
      <c r="C54">
        <v>3</v>
      </c>
      <c r="D54">
        <v>0</v>
      </c>
      <c r="E54">
        <f>SmtRes!AV177</f>
        <v>0</v>
      </c>
      <c r="F54" t="str">
        <f>SmtRes!I177</f>
        <v>21.1-12-10</v>
      </c>
      <c r="G54" t="str">
        <f>SmtRes!K177</f>
        <v>Песок для дорожных работ, рядовой</v>
      </c>
      <c r="H54" t="str">
        <f>SmtRes!O177</f>
        <v>м3</v>
      </c>
      <c r="I54">
        <f>SmtRes!Y177*Source!I307</f>
        <v>120.89</v>
      </c>
      <c r="J54">
        <f>SmtRes!AO177</f>
        <v>1</v>
      </c>
      <c r="K54">
        <f>ROUND(SmtRes!AE177, 6)</f>
        <v>559.23</v>
      </c>
      <c r="L54">
        <f t="shared" si="4"/>
        <v>67605.31</v>
      </c>
      <c r="M54">
        <f>ROUND(SmtRes!AA177, 6)</f>
        <v>559.23</v>
      </c>
      <c r="N54">
        <f t="shared" si="5"/>
        <v>67605.31</v>
      </c>
      <c r="O54">
        <f>SmtRes!X177</f>
        <v>-1431983879</v>
      </c>
      <c r="P54">
        <v>2144121690</v>
      </c>
      <c r="Q54">
        <v>-1404278575</v>
      </c>
    </row>
    <row r="55" spans="1:17" x14ac:dyDescent="0.2">
      <c r="A55">
        <f>Source!A308</f>
        <v>17</v>
      </c>
      <c r="C55">
        <v>3</v>
      </c>
      <c r="D55">
        <v>0</v>
      </c>
      <c r="E55">
        <f>SmtRes!AV187</f>
        <v>0</v>
      </c>
      <c r="F55" t="str">
        <f>SmtRes!I187</f>
        <v>21.1-25-13</v>
      </c>
      <c r="G55" t="str">
        <f>SmtRes!K187</f>
        <v>Вода</v>
      </c>
      <c r="H55" t="str">
        <f>SmtRes!O187</f>
        <v>м3</v>
      </c>
      <c r="I55">
        <f>SmtRes!Y187*Source!I308</f>
        <v>7.6929999999999996</v>
      </c>
      <c r="J55">
        <f>SmtRes!AO187</f>
        <v>1</v>
      </c>
      <c r="K55">
        <f>ROUND(SmtRes!AE187, 6)</f>
        <v>28.77</v>
      </c>
      <c r="L55">
        <f t="shared" si="4"/>
        <v>221.33</v>
      </c>
      <c r="M55">
        <f>ROUND(SmtRes!AA187, 6)</f>
        <v>28.77</v>
      </c>
      <c r="N55">
        <f t="shared" si="5"/>
        <v>221.33</v>
      </c>
      <c r="O55">
        <f>SmtRes!X187</f>
        <v>-156220903</v>
      </c>
      <c r="P55">
        <v>-1826865761</v>
      </c>
      <c r="Q55">
        <v>-101232329</v>
      </c>
    </row>
    <row r="56" spans="1:17" x14ac:dyDescent="0.2">
      <c r="A56">
        <f>Source!A308</f>
        <v>17</v>
      </c>
      <c r="C56">
        <v>3</v>
      </c>
      <c r="D56">
        <v>0</v>
      </c>
      <c r="E56">
        <f>SmtRes!AV186</f>
        <v>0</v>
      </c>
      <c r="F56" t="str">
        <f>SmtRes!I186</f>
        <v>21.1-12-36</v>
      </c>
      <c r="G56" t="str">
        <f>SmtRes!K186</f>
        <v>Щебень из естественного камня для строительных работ, марка 1200-800, фракция 20-40 мм</v>
      </c>
      <c r="H56" t="str">
        <f>SmtRes!O186</f>
        <v>м3</v>
      </c>
      <c r="I56">
        <f>SmtRes!Y186*Source!I308</f>
        <v>138.47399999999999</v>
      </c>
      <c r="J56">
        <f>SmtRes!AO186</f>
        <v>1</v>
      </c>
      <c r="K56">
        <f>ROUND(SmtRes!AE186, 6)</f>
        <v>1910.98</v>
      </c>
      <c r="L56">
        <f t="shared" si="4"/>
        <v>264621.03999999998</v>
      </c>
      <c r="M56">
        <f>ROUND(SmtRes!AA186, 6)</f>
        <v>1910.98</v>
      </c>
      <c r="N56">
        <f t="shared" si="5"/>
        <v>264621.03999999998</v>
      </c>
      <c r="O56">
        <f>SmtRes!X186</f>
        <v>812099054</v>
      </c>
      <c r="P56">
        <v>134113051</v>
      </c>
      <c r="Q56">
        <v>-2076826296</v>
      </c>
    </row>
    <row r="57" spans="1:17" x14ac:dyDescent="0.2">
      <c r="A57">
        <f>Source!A309</f>
        <v>17</v>
      </c>
      <c r="C57">
        <v>3</v>
      </c>
      <c r="D57">
        <v>0</v>
      </c>
      <c r="E57">
        <f>SmtRes!AV191</f>
        <v>0</v>
      </c>
      <c r="F57" t="str">
        <f>SmtRes!I191</f>
        <v>21.3-3-18</v>
      </c>
      <c r="G57" t="str">
        <f>SmtRes!K191</f>
        <v>Смеси асфальтобетонные дорожные горячие мелкозернистые, марка I, тип Б</v>
      </c>
      <c r="H57" t="str">
        <f>SmtRes!O191</f>
        <v>т</v>
      </c>
      <c r="I57">
        <f>SmtRes!Y191*Source!I309</f>
        <v>131.60525000000001</v>
      </c>
      <c r="J57">
        <f>SmtRes!AO191</f>
        <v>1</v>
      </c>
      <c r="K57">
        <f>ROUND(SmtRes!AE191, 6)</f>
        <v>2314.4499999999998</v>
      </c>
      <c r="L57">
        <f t="shared" si="4"/>
        <v>304593.77</v>
      </c>
      <c r="M57">
        <f>ROUND(SmtRes!AA191, 6)</f>
        <v>2314.4499999999998</v>
      </c>
      <c r="N57">
        <f t="shared" si="5"/>
        <v>304593.77</v>
      </c>
      <c r="O57">
        <f>SmtRes!X191</f>
        <v>58957476</v>
      </c>
      <c r="P57">
        <v>-2054370954</v>
      </c>
      <c r="Q57">
        <v>188851784</v>
      </c>
    </row>
    <row r="58" spans="1:17" x14ac:dyDescent="0.2">
      <c r="A58">
        <f>Source!A310</f>
        <v>17</v>
      </c>
      <c r="C58">
        <v>3</v>
      </c>
      <c r="D58">
        <v>0</v>
      </c>
      <c r="E58">
        <f>SmtRes!AV201</f>
        <v>0</v>
      </c>
      <c r="F58" t="str">
        <f>SmtRes!I201</f>
        <v>21.1-6-101</v>
      </c>
      <c r="G58" t="str">
        <f>SmtRes!K201</f>
        <v>Пигменты сухие для красок, кислотный желтый</v>
      </c>
      <c r="H58" t="str">
        <f>SmtRes!O201</f>
        <v>т</v>
      </c>
      <c r="I58">
        <f>SmtRes!Y201*Source!I310</f>
        <v>0.57697500000000002</v>
      </c>
      <c r="J58">
        <f>SmtRes!AO201</f>
        <v>1</v>
      </c>
      <c r="K58">
        <f>ROUND(SmtRes!AE201, 6)</f>
        <v>360260.32</v>
      </c>
      <c r="L58">
        <f t="shared" si="4"/>
        <v>207861.2</v>
      </c>
      <c r="M58">
        <f>ROUND(SmtRes!AA201, 6)</f>
        <v>360260.32</v>
      </c>
      <c r="N58">
        <f t="shared" si="5"/>
        <v>207861.2</v>
      </c>
      <c r="O58">
        <f>SmtRes!X201</f>
        <v>-946191126</v>
      </c>
      <c r="P58">
        <v>924262723</v>
      </c>
      <c r="Q58">
        <v>-134482857</v>
      </c>
    </row>
    <row r="59" spans="1:17" x14ac:dyDescent="0.2">
      <c r="A59">
        <f>Source!A310</f>
        <v>17</v>
      </c>
      <c r="C59">
        <v>3</v>
      </c>
      <c r="D59">
        <v>0</v>
      </c>
      <c r="E59">
        <f>SmtRes!AV200</f>
        <v>0</v>
      </c>
      <c r="F59" t="str">
        <f>SmtRes!I200</f>
        <v>21.1-25-776</v>
      </c>
      <c r="G59" t="str">
        <f>SmtRes!K200</f>
        <v>Средство связующее универсальное полиуретановое на основе резиновой и каучуковой крошки для устройства высокопрочных эластичных покрытий</v>
      </c>
      <c r="H59" t="str">
        <f>SmtRes!O200</f>
        <v>кг</v>
      </c>
      <c r="I59">
        <f>SmtRes!Y200*Source!I310</f>
        <v>2654.085</v>
      </c>
      <c r="J59">
        <f>SmtRes!AO200</f>
        <v>1</v>
      </c>
      <c r="K59">
        <f>ROUND(SmtRes!AE200, 6)</f>
        <v>175.18</v>
      </c>
      <c r="L59">
        <f t="shared" si="4"/>
        <v>464942.61</v>
      </c>
      <c r="M59">
        <f>ROUND(SmtRes!AA200, 6)</f>
        <v>175.18</v>
      </c>
      <c r="N59">
        <f t="shared" si="5"/>
        <v>464942.61</v>
      </c>
      <c r="O59">
        <f>SmtRes!X200</f>
        <v>1601901178</v>
      </c>
      <c r="P59">
        <v>-1726066032</v>
      </c>
      <c r="Q59">
        <v>1499598369</v>
      </c>
    </row>
    <row r="60" spans="1:17" x14ac:dyDescent="0.2">
      <c r="A60">
        <f>Source!A310</f>
        <v>17</v>
      </c>
      <c r="C60">
        <v>3</v>
      </c>
      <c r="D60">
        <v>0</v>
      </c>
      <c r="E60">
        <f>SmtRes!AV199</f>
        <v>0</v>
      </c>
      <c r="F60" t="str">
        <f>SmtRes!I199</f>
        <v>21.1-25-769</v>
      </c>
      <c r="G60" t="str">
        <f>SmtRes!K199</f>
        <v>Крошка резиновая гранулированная, фракция 2-3 мм</v>
      </c>
      <c r="H60" t="str">
        <f>SmtRes!O199</f>
        <v>кг</v>
      </c>
      <c r="I60">
        <f>SmtRes!Y199*Source!I310</f>
        <v>8077.6500000000005</v>
      </c>
      <c r="J60">
        <f>SmtRes!AO199</f>
        <v>1</v>
      </c>
      <c r="K60">
        <f>ROUND(SmtRes!AE199, 6)</f>
        <v>20.03</v>
      </c>
      <c r="L60">
        <f t="shared" si="4"/>
        <v>161795.32999999999</v>
      </c>
      <c r="M60">
        <f>ROUND(SmtRes!AA199, 6)</f>
        <v>20.03</v>
      </c>
      <c r="N60">
        <f t="shared" si="5"/>
        <v>161795.32999999999</v>
      </c>
      <c r="O60">
        <f>SmtRes!X199</f>
        <v>-1646851010</v>
      </c>
      <c r="P60">
        <v>-1318317488</v>
      </c>
      <c r="Q60">
        <v>64334613</v>
      </c>
    </row>
    <row r="61" spans="1:17" x14ac:dyDescent="0.2">
      <c r="A61">
        <f>Source!A310</f>
        <v>17</v>
      </c>
      <c r="C61">
        <v>3</v>
      </c>
      <c r="D61">
        <v>0</v>
      </c>
      <c r="E61">
        <f>SmtRes!AV198</f>
        <v>0</v>
      </c>
      <c r="F61" t="str">
        <f>SmtRes!I198</f>
        <v>21.1-25-343</v>
      </c>
      <c r="G61" t="str">
        <f>SmtRes!K198</f>
        <v>Скипидар живичный</v>
      </c>
      <c r="H61" t="str">
        <f>SmtRes!O198</f>
        <v>т</v>
      </c>
      <c r="I61">
        <f>SmtRes!Y198*Source!I310</f>
        <v>3.4618500000000003E-2</v>
      </c>
      <c r="J61">
        <f>SmtRes!AO198</f>
        <v>1</v>
      </c>
      <c r="K61">
        <f>ROUND(SmtRes!AE198, 6)</f>
        <v>100975.39</v>
      </c>
      <c r="L61">
        <f t="shared" si="4"/>
        <v>3495.62</v>
      </c>
      <c r="M61">
        <f>ROUND(SmtRes!AA198, 6)</f>
        <v>100975.39</v>
      </c>
      <c r="N61">
        <f t="shared" si="5"/>
        <v>3495.62</v>
      </c>
      <c r="O61">
        <f>SmtRes!X198</f>
        <v>-837791969</v>
      </c>
      <c r="P61">
        <v>-1504264747</v>
      </c>
      <c r="Q61">
        <v>1343091473</v>
      </c>
    </row>
    <row r="62" spans="1:17" x14ac:dyDescent="0.2">
      <c r="A62">
        <f>Source!A310</f>
        <v>17</v>
      </c>
      <c r="C62">
        <v>3</v>
      </c>
      <c r="D62">
        <v>0</v>
      </c>
      <c r="E62">
        <f>SmtRes!AV197</f>
        <v>0</v>
      </c>
      <c r="F62" t="str">
        <f>SmtRes!I197</f>
        <v>21.1-25-255</v>
      </c>
      <c r="G62" t="str">
        <f>SmtRes!K197</f>
        <v>Пленка полиэтиленовая, толщина 0,12 - 0,15 мм</v>
      </c>
      <c r="H62" t="str">
        <f>SmtRes!O197</f>
        <v>м2</v>
      </c>
      <c r="I62">
        <f>SmtRes!Y197*Source!I310</f>
        <v>61.543999999999997</v>
      </c>
      <c r="J62">
        <f>SmtRes!AO197</f>
        <v>1</v>
      </c>
      <c r="K62">
        <f>ROUND(SmtRes!AE197, 6)</f>
        <v>12.61</v>
      </c>
      <c r="L62">
        <f t="shared" si="4"/>
        <v>776.07</v>
      </c>
      <c r="M62">
        <f>ROUND(SmtRes!AA197, 6)</f>
        <v>12.61</v>
      </c>
      <c r="N62">
        <f t="shared" si="5"/>
        <v>776.07</v>
      </c>
      <c r="O62">
        <f>SmtRes!X197</f>
        <v>1535195253</v>
      </c>
      <c r="P62">
        <v>-1497362457</v>
      </c>
      <c r="Q62">
        <v>527232982</v>
      </c>
    </row>
    <row r="63" spans="1:17" x14ac:dyDescent="0.2">
      <c r="A63">
        <f>Source!A311</f>
        <v>17</v>
      </c>
      <c r="C63">
        <v>3</v>
      </c>
      <c r="D63">
        <v>0</v>
      </c>
      <c r="E63">
        <f>SmtRes!AV207</f>
        <v>0</v>
      </c>
      <c r="F63" t="str">
        <f>SmtRes!I207</f>
        <v>21.1-6-101</v>
      </c>
      <c r="G63" t="str">
        <f>SmtRes!K207</f>
        <v>Пигменты сухие для красок, кислотный желтый</v>
      </c>
      <c r="H63" t="str">
        <f>SmtRes!O207</f>
        <v>т</v>
      </c>
      <c r="I63">
        <f>SmtRes!Y207*Source!I311</f>
        <v>0.11539500000000001</v>
      </c>
      <c r="J63">
        <f>SmtRes!AO207</f>
        <v>1</v>
      </c>
      <c r="K63">
        <f>ROUND(SmtRes!AE207, 6)</f>
        <v>360260.32</v>
      </c>
      <c r="L63">
        <f t="shared" si="4"/>
        <v>41572.239999999998</v>
      </c>
      <c r="M63">
        <f>ROUND(SmtRes!AA207, 6)</f>
        <v>360260.32</v>
      </c>
      <c r="N63">
        <f t="shared" si="5"/>
        <v>41572.239999999998</v>
      </c>
      <c r="O63">
        <f>SmtRes!X207</f>
        <v>-946191126</v>
      </c>
      <c r="P63">
        <v>924262723</v>
      </c>
      <c r="Q63">
        <v>-134482857</v>
      </c>
    </row>
    <row r="64" spans="1:17" x14ac:dyDescent="0.2">
      <c r="A64">
        <f>Source!A311</f>
        <v>17</v>
      </c>
      <c r="C64">
        <v>3</v>
      </c>
      <c r="D64">
        <v>0</v>
      </c>
      <c r="E64">
        <f>SmtRes!AV206</f>
        <v>0</v>
      </c>
      <c r="F64" t="str">
        <f>SmtRes!I206</f>
        <v>21.1-25-776</v>
      </c>
      <c r="G64" t="str">
        <f>SmtRes!K206</f>
        <v>Средство связующее универсальное полиуретановое на основе резиновой и каучуковой крошки для устройства высокопрочных эластичных покрытий</v>
      </c>
      <c r="H64" t="str">
        <f>SmtRes!O206</f>
        <v>кг</v>
      </c>
      <c r="I64">
        <f>SmtRes!Y206*Source!I311</f>
        <v>461.58</v>
      </c>
      <c r="J64">
        <f>SmtRes!AO206</f>
        <v>1</v>
      </c>
      <c r="K64">
        <f>ROUND(SmtRes!AE206, 6)</f>
        <v>175.18</v>
      </c>
      <c r="L64">
        <f t="shared" si="4"/>
        <v>80859.58</v>
      </c>
      <c r="M64">
        <f>ROUND(SmtRes!AA206, 6)</f>
        <v>175.18</v>
      </c>
      <c r="N64">
        <f t="shared" si="5"/>
        <v>80859.58</v>
      </c>
      <c r="O64">
        <f>SmtRes!X206</f>
        <v>1601901178</v>
      </c>
      <c r="P64">
        <v>-1726066032</v>
      </c>
      <c r="Q64">
        <v>1499598369</v>
      </c>
    </row>
    <row r="65" spans="1:17" x14ac:dyDescent="0.2">
      <c r="A65">
        <f>Source!A311</f>
        <v>17</v>
      </c>
      <c r="C65">
        <v>3</v>
      </c>
      <c r="D65">
        <v>0</v>
      </c>
      <c r="E65">
        <f>SmtRes!AV205</f>
        <v>0</v>
      </c>
      <c r="F65" t="str">
        <f>SmtRes!I205</f>
        <v>21.1-25-769</v>
      </c>
      <c r="G65" t="str">
        <f>SmtRes!K205</f>
        <v>Крошка резиновая гранулированная, фракция 2-3 мм</v>
      </c>
      <c r="H65" t="str">
        <f>SmtRes!O205</f>
        <v>кг</v>
      </c>
      <c r="I65">
        <f>SmtRes!Y205*Source!I311</f>
        <v>1615.53</v>
      </c>
      <c r="J65">
        <f>SmtRes!AO205</f>
        <v>1</v>
      </c>
      <c r="K65">
        <f>ROUND(SmtRes!AE205, 6)</f>
        <v>20.03</v>
      </c>
      <c r="L65">
        <f t="shared" si="4"/>
        <v>32359.07</v>
      </c>
      <c r="M65">
        <f>ROUND(SmtRes!AA205, 6)</f>
        <v>20.03</v>
      </c>
      <c r="N65">
        <f t="shared" si="5"/>
        <v>32359.07</v>
      </c>
      <c r="O65">
        <f>SmtRes!X205</f>
        <v>-1646851010</v>
      </c>
      <c r="P65">
        <v>-1318317488</v>
      </c>
      <c r="Q65">
        <v>64334613</v>
      </c>
    </row>
    <row r="66" spans="1:17" x14ac:dyDescent="0.2">
      <c r="A66">
        <f>Source!A312</f>
        <v>17</v>
      </c>
      <c r="C66">
        <v>3</v>
      </c>
      <c r="D66">
        <v>0</v>
      </c>
      <c r="E66">
        <f>SmtRes!AV210</f>
        <v>0</v>
      </c>
      <c r="F66" t="str">
        <f>SmtRes!I210</f>
        <v>21.1-6-196</v>
      </c>
      <c r="G66" t="str">
        <f>SmtRes!K210</f>
        <v>Краски (без стеклошариков) дорожные белые, марка "Магистраль"</v>
      </c>
      <c r="H66" t="str">
        <f>SmtRes!O210</f>
        <v>т</v>
      </c>
      <c r="I66">
        <f>SmtRes!Y210*Source!I312</f>
        <v>8.2680000000000003E-2</v>
      </c>
      <c r="J66">
        <f>SmtRes!AO210</f>
        <v>1</v>
      </c>
      <c r="K66">
        <f>ROUND(SmtRes!AE210, 6)</f>
        <v>84127.039999999994</v>
      </c>
      <c r="L66">
        <f t="shared" si="4"/>
        <v>6955.62</v>
      </c>
      <c r="M66">
        <f>ROUND(SmtRes!AA210, 6)</f>
        <v>84127.039999999994</v>
      </c>
      <c r="N66">
        <f t="shared" si="5"/>
        <v>6955.62</v>
      </c>
      <c r="O66">
        <f>SmtRes!X210</f>
        <v>704671994</v>
      </c>
      <c r="P66">
        <v>1270469798</v>
      </c>
      <c r="Q66">
        <v>2070703896</v>
      </c>
    </row>
    <row r="67" spans="1:17" x14ac:dyDescent="0.2">
      <c r="A67">
        <f>Source!A343</f>
        <v>4</v>
      </c>
      <c r="B67">
        <v>343</v>
      </c>
      <c r="G67" t="str">
        <f>Source!G343</f>
        <v>Устройство прыжковой ямы и полиуретановой дорожки</v>
      </c>
    </row>
    <row r="68" spans="1:17" x14ac:dyDescent="0.2">
      <c r="A68">
        <f>Source!A350</f>
        <v>17</v>
      </c>
      <c r="C68">
        <v>3</v>
      </c>
      <c r="D68">
        <v>0</v>
      </c>
      <c r="E68">
        <f>SmtRes!AV223</f>
        <v>0</v>
      </c>
      <c r="F68" t="str">
        <f>SmtRes!I223</f>
        <v>21.1-25-13</v>
      </c>
      <c r="G68" t="str">
        <f>SmtRes!K223</f>
        <v>Вода</v>
      </c>
      <c r="H68" t="str">
        <f>SmtRes!O223</f>
        <v>м3</v>
      </c>
      <c r="I68">
        <f>SmtRes!Y223*Source!I350</f>
        <v>0.04</v>
      </c>
      <c r="J68">
        <f>SmtRes!AO223</f>
        <v>1</v>
      </c>
      <c r="K68">
        <f>ROUND(SmtRes!AE223, 6)</f>
        <v>28.77</v>
      </c>
      <c r="L68">
        <f t="shared" ref="L68:L82" si="6">ROUND(I68*K68, 2)</f>
        <v>1.1499999999999999</v>
      </c>
      <c r="M68">
        <f>ROUND(SmtRes!AA223, 6)</f>
        <v>28.77</v>
      </c>
      <c r="N68">
        <f t="shared" ref="N68:N82" si="7">ROUND(I68*M68, 2)</f>
        <v>1.1499999999999999</v>
      </c>
      <c r="O68">
        <f>SmtRes!X223</f>
        <v>-156220903</v>
      </c>
      <c r="P68">
        <v>-1826865761</v>
      </c>
      <c r="Q68">
        <v>-101232329</v>
      </c>
    </row>
    <row r="69" spans="1:17" x14ac:dyDescent="0.2">
      <c r="A69">
        <f>Source!A350</f>
        <v>17</v>
      </c>
      <c r="C69">
        <v>3</v>
      </c>
      <c r="D69">
        <v>0</v>
      </c>
      <c r="E69">
        <f>SmtRes!AV222</f>
        <v>0</v>
      </c>
      <c r="F69" t="str">
        <f>SmtRes!I222</f>
        <v>21.1-12-10</v>
      </c>
      <c r="G69" t="str">
        <f>SmtRes!K222</f>
        <v>Песок для дорожных работ, рядовой</v>
      </c>
      <c r="H69" t="str">
        <f>SmtRes!O222</f>
        <v>м3</v>
      </c>
      <c r="I69">
        <f>SmtRes!Y222*Source!I350</f>
        <v>0.88</v>
      </c>
      <c r="J69">
        <f>SmtRes!AO222</f>
        <v>1</v>
      </c>
      <c r="K69">
        <f>ROUND(SmtRes!AE222, 6)</f>
        <v>559.23</v>
      </c>
      <c r="L69">
        <f t="shared" si="6"/>
        <v>492.12</v>
      </c>
      <c r="M69">
        <f>ROUND(SmtRes!AA222, 6)</f>
        <v>559.23</v>
      </c>
      <c r="N69">
        <f t="shared" si="7"/>
        <v>492.12</v>
      </c>
      <c r="O69">
        <f>SmtRes!X222</f>
        <v>-1431983879</v>
      </c>
      <c r="P69">
        <v>2144121690</v>
      </c>
      <c r="Q69">
        <v>-1404278575</v>
      </c>
    </row>
    <row r="70" spans="1:17" x14ac:dyDescent="0.2">
      <c r="A70">
        <f>Source!A351</f>
        <v>17</v>
      </c>
      <c r="C70">
        <v>3</v>
      </c>
      <c r="D70">
        <v>0</v>
      </c>
      <c r="E70">
        <f>SmtRes!AV232</f>
        <v>0</v>
      </c>
      <c r="F70" t="str">
        <f>SmtRes!I232</f>
        <v>21.1-25-13</v>
      </c>
      <c r="G70" t="str">
        <f>SmtRes!K232</f>
        <v>Вода</v>
      </c>
      <c r="H70" t="str">
        <f>SmtRes!O232</f>
        <v>м3</v>
      </c>
      <c r="I70">
        <f>SmtRes!Y232*Source!I351</f>
        <v>5.6000000000000001E-2</v>
      </c>
      <c r="J70">
        <f>SmtRes!AO232</f>
        <v>1</v>
      </c>
      <c r="K70">
        <f>ROUND(SmtRes!AE232, 6)</f>
        <v>28.77</v>
      </c>
      <c r="L70">
        <f t="shared" si="6"/>
        <v>1.61</v>
      </c>
      <c r="M70">
        <f>ROUND(SmtRes!AA232, 6)</f>
        <v>28.77</v>
      </c>
      <c r="N70">
        <f t="shared" si="7"/>
        <v>1.61</v>
      </c>
      <c r="O70">
        <f>SmtRes!X232</f>
        <v>-156220903</v>
      </c>
      <c r="P70">
        <v>-1826865761</v>
      </c>
      <c r="Q70">
        <v>-101232329</v>
      </c>
    </row>
    <row r="71" spans="1:17" x14ac:dyDescent="0.2">
      <c r="A71">
        <f>Source!A351</f>
        <v>17</v>
      </c>
      <c r="C71">
        <v>3</v>
      </c>
      <c r="D71">
        <v>0</v>
      </c>
      <c r="E71">
        <f>SmtRes!AV231</f>
        <v>0</v>
      </c>
      <c r="F71" t="str">
        <f>SmtRes!I231</f>
        <v>21.1-12-36</v>
      </c>
      <c r="G71" t="str">
        <f>SmtRes!K231</f>
        <v>Щебень из естественного камня для строительных работ, марка 1200-800, фракция 20-40 мм</v>
      </c>
      <c r="H71" t="str">
        <f>SmtRes!O231</f>
        <v>м3</v>
      </c>
      <c r="I71">
        <f>SmtRes!Y231*Source!I351</f>
        <v>1.008</v>
      </c>
      <c r="J71">
        <f>SmtRes!AO231</f>
        <v>1</v>
      </c>
      <c r="K71">
        <f>ROUND(SmtRes!AE231, 6)</f>
        <v>1910.98</v>
      </c>
      <c r="L71">
        <f t="shared" si="6"/>
        <v>1926.27</v>
      </c>
      <c r="M71">
        <f>ROUND(SmtRes!AA231, 6)</f>
        <v>1910.98</v>
      </c>
      <c r="N71">
        <f t="shared" si="7"/>
        <v>1926.27</v>
      </c>
      <c r="O71">
        <f>SmtRes!X231</f>
        <v>812099054</v>
      </c>
      <c r="P71">
        <v>134113051</v>
      </c>
      <c r="Q71">
        <v>-2076826296</v>
      </c>
    </row>
    <row r="72" spans="1:17" x14ac:dyDescent="0.2">
      <c r="A72">
        <f>Source!A352</f>
        <v>17</v>
      </c>
      <c r="C72">
        <v>3</v>
      </c>
      <c r="D72">
        <v>0</v>
      </c>
      <c r="E72">
        <f>SmtRes!AV236</f>
        <v>0</v>
      </c>
      <c r="F72" t="str">
        <f>SmtRes!I236</f>
        <v>21.3-3-18</v>
      </c>
      <c r="G72" t="str">
        <f>SmtRes!K236</f>
        <v>Смеси асфальтобетонные дорожные горячие мелкозернистые, марка I, тип Б</v>
      </c>
      <c r="H72" t="str">
        <f>SmtRes!O236</f>
        <v>т</v>
      </c>
      <c r="I72">
        <f>SmtRes!Y236*Source!I352</f>
        <v>0.95799999999999996</v>
      </c>
      <c r="J72">
        <f>SmtRes!AO236</f>
        <v>1</v>
      </c>
      <c r="K72">
        <f>ROUND(SmtRes!AE236, 6)</f>
        <v>2314.4499999999998</v>
      </c>
      <c r="L72">
        <f t="shared" si="6"/>
        <v>2217.2399999999998</v>
      </c>
      <c r="M72">
        <f>ROUND(SmtRes!AA236, 6)</f>
        <v>2314.4499999999998</v>
      </c>
      <c r="N72">
        <f t="shared" si="7"/>
        <v>2217.2399999999998</v>
      </c>
      <c r="O72">
        <f>SmtRes!X236</f>
        <v>58957476</v>
      </c>
      <c r="P72">
        <v>-2054370954</v>
      </c>
      <c r="Q72">
        <v>188851784</v>
      </c>
    </row>
    <row r="73" spans="1:17" x14ac:dyDescent="0.2">
      <c r="A73">
        <f>Source!A353</f>
        <v>17</v>
      </c>
      <c r="C73">
        <v>3</v>
      </c>
      <c r="D73">
        <v>0</v>
      </c>
      <c r="E73">
        <f>SmtRes!AV246</f>
        <v>0</v>
      </c>
      <c r="F73" t="str">
        <f>SmtRes!I246</f>
        <v>21.1-6-101</v>
      </c>
      <c r="G73" t="str">
        <f>SmtRes!K246</f>
        <v>Пигменты сухие для красок, кислотный желтый</v>
      </c>
      <c r="H73" t="str">
        <f>SmtRes!O246</f>
        <v>т</v>
      </c>
      <c r="I73">
        <f>SmtRes!Y246*Source!I353</f>
        <v>4.1999999999999997E-3</v>
      </c>
      <c r="J73">
        <f>SmtRes!AO246</f>
        <v>1</v>
      </c>
      <c r="K73">
        <f>ROUND(SmtRes!AE246, 6)</f>
        <v>360260.32</v>
      </c>
      <c r="L73">
        <f t="shared" si="6"/>
        <v>1513.09</v>
      </c>
      <c r="M73">
        <f>ROUND(SmtRes!AA246, 6)</f>
        <v>360260.32</v>
      </c>
      <c r="N73">
        <f t="shared" si="7"/>
        <v>1513.09</v>
      </c>
      <c r="O73">
        <f>SmtRes!X246</f>
        <v>-946191126</v>
      </c>
      <c r="P73">
        <v>924262723</v>
      </c>
      <c r="Q73">
        <v>-134482857</v>
      </c>
    </row>
    <row r="74" spans="1:17" x14ac:dyDescent="0.2">
      <c r="A74">
        <f>Source!A353</f>
        <v>17</v>
      </c>
      <c r="C74">
        <v>3</v>
      </c>
      <c r="D74">
        <v>0</v>
      </c>
      <c r="E74">
        <f>SmtRes!AV245</f>
        <v>0</v>
      </c>
      <c r="F74" t="str">
        <f>SmtRes!I245</f>
        <v>21.1-25-776</v>
      </c>
      <c r="G74" t="str">
        <f>SmtRes!K245</f>
        <v>Средство связующее универсальное полиуретановое на основе резиновой и каучуковой крошки для устройства высокопрочных эластичных покрытий</v>
      </c>
      <c r="H74" t="str">
        <f>SmtRes!O245</f>
        <v>кг</v>
      </c>
      <c r="I74">
        <f>SmtRes!Y245*Source!I353</f>
        <v>19.32</v>
      </c>
      <c r="J74">
        <f>SmtRes!AO245</f>
        <v>1</v>
      </c>
      <c r="K74">
        <f>ROUND(SmtRes!AE245, 6)</f>
        <v>175.18</v>
      </c>
      <c r="L74">
        <f t="shared" si="6"/>
        <v>3384.48</v>
      </c>
      <c r="M74">
        <f>ROUND(SmtRes!AA245, 6)</f>
        <v>175.18</v>
      </c>
      <c r="N74">
        <f t="shared" si="7"/>
        <v>3384.48</v>
      </c>
      <c r="O74">
        <f>SmtRes!X245</f>
        <v>1601901178</v>
      </c>
      <c r="P74">
        <v>-1726066032</v>
      </c>
      <c r="Q74">
        <v>1499598369</v>
      </c>
    </row>
    <row r="75" spans="1:17" x14ac:dyDescent="0.2">
      <c r="A75">
        <f>Source!A353</f>
        <v>17</v>
      </c>
      <c r="C75">
        <v>3</v>
      </c>
      <c r="D75">
        <v>0</v>
      </c>
      <c r="E75">
        <f>SmtRes!AV244</f>
        <v>0</v>
      </c>
      <c r="F75" t="str">
        <f>SmtRes!I244</f>
        <v>21.1-25-769</v>
      </c>
      <c r="G75" t="str">
        <f>SmtRes!K244</f>
        <v>Крошка резиновая гранулированная, фракция 2-3 мм</v>
      </c>
      <c r="H75" t="str">
        <f>SmtRes!O244</f>
        <v>кг</v>
      </c>
      <c r="I75">
        <f>SmtRes!Y244*Source!I353</f>
        <v>58.800000000000004</v>
      </c>
      <c r="J75">
        <f>SmtRes!AO244</f>
        <v>1</v>
      </c>
      <c r="K75">
        <f>ROUND(SmtRes!AE244, 6)</f>
        <v>20.03</v>
      </c>
      <c r="L75">
        <f t="shared" si="6"/>
        <v>1177.76</v>
      </c>
      <c r="M75">
        <f>ROUND(SmtRes!AA244, 6)</f>
        <v>20.03</v>
      </c>
      <c r="N75">
        <f t="shared" si="7"/>
        <v>1177.76</v>
      </c>
      <c r="O75">
        <f>SmtRes!X244</f>
        <v>-1646851010</v>
      </c>
      <c r="P75">
        <v>-1318317488</v>
      </c>
      <c r="Q75">
        <v>64334613</v>
      </c>
    </row>
    <row r="76" spans="1:17" x14ac:dyDescent="0.2">
      <c r="A76">
        <f>Source!A353</f>
        <v>17</v>
      </c>
      <c r="C76">
        <v>3</v>
      </c>
      <c r="D76">
        <v>0</v>
      </c>
      <c r="E76">
        <f>SmtRes!AV243</f>
        <v>0</v>
      </c>
      <c r="F76" t="str">
        <f>SmtRes!I243</f>
        <v>21.1-25-343</v>
      </c>
      <c r="G76" t="str">
        <f>SmtRes!K243</f>
        <v>Скипидар живичный</v>
      </c>
      <c r="H76" t="str">
        <f>SmtRes!O243</f>
        <v>т</v>
      </c>
      <c r="I76">
        <f>SmtRes!Y243*Source!I353</f>
        <v>2.52E-4</v>
      </c>
      <c r="J76">
        <f>SmtRes!AO243</f>
        <v>1</v>
      </c>
      <c r="K76">
        <f>ROUND(SmtRes!AE243, 6)</f>
        <v>100975.39</v>
      </c>
      <c r="L76">
        <f t="shared" si="6"/>
        <v>25.45</v>
      </c>
      <c r="M76">
        <f>ROUND(SmtRes!AA243, 6)</f>
        <v>100975.39</v>
      </c>
      <c r="N76">
        <f t="shared" si="7"/>
        <v>25.45</v>
      </c>
      <c r="O76">
        <f>SmtRes!X243</f>
        <v>-837791969</v>
      </c>
      <c r="P76">
        <v>-1504264747</v>
      </c>
      <c r="Q76">
        <v>1343091473</v>
      </c>
    </row>
    <row r="77" spans="1:17" x14ac:dyDescent="0.2">
      <c r="A77">
        <f>Source!A353</f>
        <v>17</v>
      </c>
      <c r="C77">
        <v>3</v>
      </c>
      <c r="D77">
        <v>0</v>
      </c>
      <c r="E77">
        <f>SmtRes!AV242</f>
        <v>0</v>
      </c>
      <c r="F77" t="str">
        <f>SmtRes!I242</f>
        <v>21.1-25-255</v>
      </c>
      <c r="G77" t="str">
        <f>SmtRes!K242</f>
        <v>Пленка полиэтиленовая, толщина 0,12 - 0,15 мм</v>
      </c>
      <c r="H77" t="str">
        <f>SmtRes!O242</f>
        <v>м2</v>
      </c>
      <c r="I77">
        <f>SmtRes!Y242*Source!I353</f>
        <v>0.44799999999999995</v>
      </c>
      <c r="J77">
        <f>SmtRes!AO242</f>
        <v>1</v>
      </c>
      <c r="K77">
        <f>ROUND(SmtRes!AE242, 6)</f>
        <v>12.61</v>
      </c>
      <c r="L77">
        <f t="shared" si="6"/>
        <v>5.65</v>
      </c>
      <c r="M77">
        <f>ROUND(SmtRes!AA242, 6)</f>
        <v>12.61</v>
      </c>
      <c r="N77">
        <f t="shared" si="7"/>
        <v>5.65</v>
      </c>
      <c r="O77">
        <f>SmtRes!X242</f>
        <v>1535195253</v>
      </c>
      <c r="P77">
        <v>-1497362457</v>
      </c>
      <c r="Q77">
        <v>527232982</v>
      </c>
    </row>
    <row r="78" spans="1:17" x14ac:dyDescent="0.2">
      <c r="A78">
        <f>Source!A354</f>
        <v>17</v>
      </c>
      <c r="C78">
        <v>3</v>
      </c>
      <c r="D78">
        <v>0</v>
      </c>
      <c r="E78">
        <f>SmtRes!AV252</f>
        <v>0</v>
      </c>
      <c r="F78" t="str">
        <f>SmtRes!I252</f>
        <v>21.1-6-101</v>
      </c>
      <c r="G78" t="str">
        <f>SmtRes!K252</f>
        <v>Пигменты сухие для красок, кислотный желтый</v>
      </c>
      <c r="H78" t="str">
        <f>SmtRes!O252</f>
        <v>т</v>
      </c>
      <c r="I78">
        <f>SmtRes!Y252*Source!I354</f>
        <v>8.4000000000000003E-4</v>
      </c>
      <c r="J78">
        <f>SmtRes!AO252</f>
        <v>1</v>
      </c>
      <c r="K78">
        <f>ROUND(SmtRes!AE252, 6)</f>
        <v>360260.32</v>
      </c>
      <c r="L78">
        <f t="shared" si="6"/>
        <v>302.62</v>
      </c>
      <c r="M78">
        <f>ROUND(SmtRes!AA252, 6)</f>
        <v>360260.32</v>
      </c>
      <c r="N78">
        <f t="shared" si="7"/>
        <v>302.62</v>
      </c>
      <c r="O78">
        <f>SmtRes!X252</f>
        <v>-946191126</v>
      </c>
      <c r="P78">
        <v>924262723</v>
      </c>
      <c r="Q78">
        <v>-134482857</v>
      </c>
    </row>
    <row r="79" spans="1:17" x14ac:dyDescent="0.2">
      <c r="A79">
        <f>Source!A354</f>
        <v>17</v>
      </c>
      <c r="C79">
        <v>3</v>
      </c>
      <c r="D79">
        <v>0</v>
      </c>
      <c r="E79">
        <f>SmtRes!AV251</f>
        <v>0</v>
      </c>
      <c r="F79" t="str">
        <f>SmtRes!I251</f>
        <v>21.1-25-776</v>
      </c>
      <c r="G79" t="str">
        <f>SmtRes!K251</f>
        <v>Средство связующее универсальное полиуретановое на основе резиновой и каучуковой крошки для устройства высокопрочных эластичных покрытий</v>
      </c>
      <c r="H79" t="str">
        <f>SmtRes!O251</f>
        <v>кг</v>
      </c>
      <c r="I79">
        <f>SmtRes!Y251*Source!I354</f>
        <v>3.36</v>
      </c>
      <c r="J79">
        <f>SmtRes!AO251</f>
        <v>1</v>
      </c>
      <c r="K79">
        <f>ROUND(SmtRes!AE251, 6)</f>
        <v>175.18</v>
      </c>
      <c r="L79">
        <f t="shared" si="6"/>
        <v>588.6</v>
      </c>
      <c r="M79">
        <f>ROUND(SmtRes!AA251, 6)</f>
        <v>175.18</v>
      </c>
      <c r="N79">
        <f t="shared" si="7"/>
        <v>588.6</v>
      </c>
      <c r="O79">
        <f>SmtRes!X251</f>
        <v>1601901178</v>
      </c>
      <c r="P79">
        <v>-1726066032</v>
      </c>
      <c r="Q79">
        <v>1499598369</v>
      </c>
    </row>
    <row r="80" spans="1:17" x14ac:dyDescent="0.2">
      <c r="A80">
        <f>Source!A354</f>
        <v>17</v>
      </c>
      <c r="C80">
        <v>3</v>
      </c>
      <c r="D80">
        <v>0</v>
      </c>
      <c r="E80">
        <f>SmtRes!AV250</f>
        <v>0</v>
      </c>
      <c r="F80" t="str">
        <f>SmtRes!I250</f>
        <v>21.1-25-769</v>
      </c>
      <c r="G80" t="str">
        <f>SmtRes!K250</f>
        <v>Крошка резиновая гранулированная, фракция 2-3 мм</v>
      </c>
      <c r="H80" t="str">
        <f>SmtRes!O250</f>
        <v>кг</v>
      </c>
      <c r="I80">
        <f>SmtRes!Y250*Source!I354</f>
        <v>11.76</v>
      </c>
      <c r="J80">
        <f>SmtRes!AO250</f>
        <v>1</v>
      </c>
      <c r="K80">
        <f>ROUND(SmtRes!AE250, 6)</f>
        <v>20.03</v>
      </c>
      <c r="L80">
        <f t="shared" si="6"/>
        <v>235.55</v>
      </c>
      <c r="M80">
        <f>ROUND(SmtRes!AA250, 6)</f>
        <v>20.03</v>
      </c>
      <c r="N80">
        <f t="shared" si="7"/>
        <v>235.55</v>
      </c>
      <c r="O80">
        <f>SmtRes!X250</f>
        <v>-1646851010</v>
      </c>
      <c r="P80">
        <v>-1318317488</v>
      </c>
      <c r="Q80">
        <v>64334613</v>
      </c>
    </row>
    <row r="81" spans="1:17" x14ac:dyDescent="0.2">
      <c r="A81">
        <f>Source!A356</f>
        <v>17</v>
      </c>
      <c r="C81">
        <v>3</v>
      </c>
      <c r="D81">
        <v>0</v>
      </c>
      <c r="E81">
        <f>SmtRes!AV261</f>
        <v>0</v>
      </c>
      <c r="F81" t="str">
        <f>SmtRes!I261</f>
        <v>21.1-25-13</v>
      </c>
      <c r="G81" t="str">
        <f>SmtRes!K261</f>
        <v>Вода</v>
      </c>
      <c r="H81" t="str">
        <f>SmtRes!O261</f>
        <v>м3</v>
      </c>
      <c r="I81">
        <f>SmtRes!Y261*Source!I356</f>
        <v>0.16</v>
      </c>
      <c r="J81">
        <f>SmtRes!AO261</f>
        <v>1</v>
      </c>
      <c r="K81">
        <f>ROUND(SmtRes!AE261, 6)</f>
        <v>28.77</v>
      </c>
      <c r="L81">
        <f t="shared" si="6"/>
        <v>4.5999999999999996</v>
      </c>
      <c r="M81">
        <f>ROUND(SmtRes!AA261, 6)</f>
        <v>28.77</v>
      </c>
      <c r="N81">
        <f t="shared" si="7"/>
        <v>4.5999999999999996</v>
      </c>
      <c r="O81">
        <f>SmtRes!X261</f>
        <v>-156220903</v>
      </c>
      <c r="P81">
        <v>-1826865761</v>
      </c>
      <c r="Q81">
        <v>-101232329</v>
      </c>
    </row>
    <row r="82" spans="1:17" x14ac:dyDescent="0.2">
      <c r="A82">
        <f>Source!A356</f>
        <v>17</v>
      </c>
      <c r="C82">
        <v>3</v>
      </c>
      <c r="D82">
        <v>0</v>
      </c>
      <c r="E82">
        <f>SmtRes!AV260</f>
        <v>0</v>
      </c>
      <c r="F82" t="str">
        <f>SmtRes!I260</f>
        <v>21.1-12-10</v>
      </c>
      <c r="G82" t="str">
        <f>SmtRes!K260</f>
        <v>Песок для дорожных работ, рядовой</v>
      </c>
      <c r="H82" t="str">
        <f>SmtRes!O260</f>
        <v>м3</v>
      </c>
      <c r="I82">
        <f>SmtRes!Y260*Source!I356</f>
        <v>3.52</v>
      </c>
      <c r="J82">
        <f>SmtRes!AO260</f>
        <v>1</v>
      </c>
      <c r="K82">
        <f>ROUND(SmtRes!AE260, 6)</f>
        <v>559.23</v>
      </c>
      <c r="L82">
        <f t="shared" si="6"/>
        <v>1968.49</v>
      </c>
      <c r="M82">
        <f>ROUND(SmtRes!AA260, 6)</f>
        <v>559.23</v>
      </c>
      <c r="N82">
        <f t="shared" si="7"/>
        <v>1968.49</v>
      </c>
      <c r="O82">
        <f>SmtRes!X260</f>
        <v>-1431983879</v>
      </c>
      <c r="P82">
        <v>2144121690</v>
      </c>
      <c r="Q82">
        <v>-1404278575</v>
      </c>
    </row>
    <row r="83" spans="1:17" x14ac:dyDescent="0.2">
      <c r="A83">
        <v>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14"/>
  <sheetViews>
    <sheetView workbookViewId="0">
      <selection activeCell="A115" sqref="A115"/>
    </sheetView>
  </sheetViews>
  <sheetFormatPr defaultRowHeight="12.75" x14ac:dyDescent="0.2"/>
  <cols>
    <col min="1" max="1" width="12.7109375" customWidth="1"/>
    <col min="2" max="2" width="40.7109375" customWidth="1"/>
    <col min="3" max="8" width="12.7109375" customWidth="1"/>
    <col min="10" max="10" width="25.28515625" customWidth="1"/>
    <col min="15" max="17" width="0" hidden="1" customWidth="1"/>
  </cols>
  <sheetData>
    <row r="2" spans="1:17" ht="16.5" x14ac:dyDescent="0.2">
      <c r="A2" s="66" t="s">
        <v>407</v>
      </c>
      <c r="B2" s="67"/>
      <c r="C2" s="67"/>
      <c r="D2" s="67"/>
      <c r="E2" s="67"/>
      <c r="F2" s="67"/>
      <c r="G2" s="67"/>
      <c r="H2" s="67"/>
    </row>
    <row r="3" spans="1:17" ht="51.75" customHeight="1" x14ac:dyDescent="0.2">
      <c r="A3" s="66" t="s">
        <v>420</v>
      </c>
      <c r="B3" s="67"/>
      <c r="C3" s="67"/>
      <c r="D3" s="67"/>
      <c r="E3" s="67"/>
      <c r="F3" s="67"/>
      <c r="G3" s="67"/>
      <c r="H3" s="67"/>
    </row>
    <row r="4" spans="1:17" x14ac:dyDescent="0.2">
      <c r="A4" s="50" t="s">
        <v>408</v>
      </c>
      <c r="B4" s="50" t="s">
        <v>409</v>
      </c>
      <c r="C4" s="50" t="s">
        <v>349</v>
      </c>
      <c r="D4" s="50" t="s">
        <v>410</v>
      </c>
      <c r="E4" s="71" t="s">
        <v>411</v>
      </c>
      <c r="F4" s="72"/>
      <c r="G4" s="71" t="s">
        <v>414</v>
      </c>
      <c r="H4" s="72"/>
    </row>
    <row r="5" spans="1:17" x14ac:dyDescent="0.2">
      <c r="A5" s="51"/>
      <c r="B5" s="51"/>
      <c r="C5" s="51"/>
      <c r="D5" s="51"/>
      <c r="E5" s="73"/>
      <c r="F5" s="74"/>
      <c r="G5" s="73"/>
      <c r="H5" s="74"/>
    </row>
    <row r="6" spans="1:17" ht="14.25" x14ac:dyDescent="0.2">
      <c r="A6" s="70"/>
      <c r="B6" s="70"/>
      <c r="C6" s="70"/>
      <c r="D6" s="70"/>
      <c r="E6" s="14" t="s">
        <v>412</v>
      </c>
      <c r="F6" s="14" t="s">
        <v>413</v>
      </c>
      <c r="G6" s="14" t="s">
        <v>412</v>
      </c>
      <c r="H6" s="14" t="s">
        <v>413</v>
      </c>
    </row>
    <row r="7" spans="1:17" ht="14.2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17" ht="16.5" x14ac:dyDescent="0.2">
      <c r="A8" s="66" t="str">
        <f>CONCATENATE("Локальная смета: ",IF(Source!G22&lt;&gt;"Новая локальная смета", Source!G22, ""))</f>
        <v xml:space="preserve">Локальная смета: </v>
      </c>
      <c r="B8" s="67"/>
      <c r="C8" s="67"/>
      <c r="D8" s="67"/>
      <c r="E8" s="67"/>
      <c r="F8" s="67"/>
      <c r="G8" s="67"/>
      <c r="H8" s="67"/>
    </row>
    <row r="9" spans="1:17" ht="16.5" x14ac:dyDescent="0.2">
      <c r="A9" s="66" t="str">
        <f>CONCATENATE("Раздел: ",IF(Source!G26&lt;&gt;"Новый раздел", Source!G26, ""))</f>
        <v>Раздел: Ремонт асфальтобетонного покрытия - 730м2</v>
      </c>
      <c r="B9" s="67"/>
      <c r="C9" s="67"/>
      <c r="D9" s="67"/>
      <c r="E9" s="67"/>
      <c r="F9" s="67"/>
      <c r="G9" s="67"/>
      <c r="H9" s="67"/>
    </row>
    <row r="10" spans="1:17" ht="14.25" x14ac:dyDescent="0.2">
      <c r="A10" s="68" t="s">
        <v>415</v>
      </c>
      <c r="B10" s="69"/>
      <c r="C10" s="69"/>
      <c r="D10" s="69"/>
      <c r="E10" s="69"/>
      <c r="F10" s="69"/>
      <c r="G10" s="69"/>
      <c r="H10" s="69"/>
    </row>
    <row r="11" spans="1:17" ht="14.25" x14ac:dyDescent="0.2">
      <c r="A11" s="42" t="s">
        <v>247</v>
      </c>
      <c r="B11" s="35" t="s">
        <v>249</v>
      </c>
      <c r="C11" s="35" t="s">
        <v>115</v>
      </c>
      <c r="D11" s="36">
        <f>ROUND(SUMIF(RV_DATA!Q8:'RV_DATA'!Q12, -1404278575, RV_DATA!I8:'RV_DATA'!I12), 6)</f>
        <v>80.3</v>
      </c>
      <c r="E11" s="43">
        <f>ROUND(SmtRes!AE19, 6)</f>
        <v>559.23</v>
      </c>
      <c r="F11" s="43">
        <f>ROUND(SUMIF(RV_DATA!Q8:'RV_DATA'!Q12, -1404278575, RV_DATA!L8:'RV_DATA'!L12), 6)</f>
        <v>44906.17</v>
      </c>
      <c r="G11" s="43">
        <f>ROUND(SmtRes!AA19, 6)</f>
        <v>559.23</v>
      </c>
      <c r="H11" s="43">
        <f>ROUND(SUMIF(RV_DATA!Q8:'RV_DATA'!Q12, -1404278575, RV_DATA!N8:'RV_DATA'!N12), 6)</f>
        <v>44906.17</v>
      </c>
      <c r="Q11">
        <v>3</v>
      </c>
    </row>
    <row r="12" spans="1:17" ht="42.75" x14ac:dyDescent="0.2">
      <c r="A12" s="42" t="s">
        <v>262</v>
      </c>
      <c r="B12" s="35" t="s">
        <v>264</v>
      </c>
      <c r="C12" s="35" t="s">
        <v>115</v>
      </c>
      <c r="D12" s="36">
        <f>ROUND(SUMIF(RV_DATA!Q8:'RV_DATA'!Q12, -2076826296, RV_DATA!I8:'RV_DATA'!I12), 6)</f>
        <v>91.98</v>
      </c>
      <c r="E12" s="43">
        <f>ROUND(SmtRes!AE28, 6)</f>
        <v>1910.98</v>
      </c>
      <c r="F12" s="43">
        <f>ROUND(SUMIF(RV_DATA!Q8:'RV_DATA'!Q12, -2076826296, RV_DATA!L8:'RV_DATA'!L12), 6)</f>
        <v>175771.94</v>
      </c>
      <c r="G12" s="43">
        <f>ROUND(SmtRes!AA28, 6)</f>
        <v>1910.98</v>
      </c>
      <c r="H12" s="43">
        <f>ROUND(SUMIF(RV_DATA!Q8:'RV_DATA'!Q12, -2076826296, RV_DATA!N8:'RV_DATA'!N12), 6)</f>
        <v>175771.94</v>
      </c>
      <c r="Q12">
        <v>3</v>
      </c>
    </row>
    <row r="13" spans="1:17" ht="14.25" x14ac:dyDescent="0.2">
      <c r="A13" s="42" t="s">
        <v>250</v>
      </c>
      <c r="B13" s="35" t="s">
        <v>252</v>
      </c>
      <c r="C13" s="35" t="s">
        <v>115</v>
      </c>
      <c r="D13" s="36">
        <f>ROUND(SUMIF(RV_DATA!Q8:'RV_DATA'!Q12, -101232329, RV_DATA!I8:'RV_DATA'!I12), 6)</f>
        <v>8.76</v>
      </c>
      <c r="E13" s="43">
        <f>ROUND(SmtRes!AE20, 6)</f>
        <v>28.77</v>
      </c>
      <c r="F13" s="43">
        <f>ROUND(SUMIF(RV_DATA!Q8:'RV_DATA'!Q12, -101232329, RV_DATA!L8:'RV_DATA'!L12), 6)</f>
        <v>252.02</v>
      </c>
      <c r="G13" s="43">
        <f>ROUND(SmtRes!AA20, 6)</f>
        <v>28.77</v>
      </c>
      <c r="H13" s="43">
        <f>ROUND(SUMIF(RV_DATA!Q8:'RV_DATA'!Q12, -101232329, RV_DATA!N8:'RV_DATA'!N12), 6)</f>
        <v>252.02</v>
      </c>
      <c r="Q13">
        <v>3</v>
      </c>
    </row>
    <row r="14" spans="1:17" ht="42.75" x14ac:dyDescent="0.2">
      <c r="A14" s="42" t="s">
        <v>271</v>
      </c>
      <c r="B14" s="35" t="s">
        <v>273</v>
      </c>
      <c r="C14" s="35" t="s">
        <v>29</v>
      </c>
      <c r="D14" s="36">
        <f>ROUND(SUMIF(RV_DATA!Q8:'RV_DATA'!Q12, 188851784, RV_DATA!I8:'RV_DATA'!I12), 6)</f>
        <v>87.417500000000004</v>
      </c>
      <c r="E14" s="43">
        <f>ROUND(SmtRes!AE33, 6)</f>
        <v>2314.4499999999998</v>
      </c>
      <c r="F14" s="43">
        <f>ROUND(SUMIF(RV_DATA!Q8:'RV_DATA'!Q12, 188851784, RV_DATA!L8:'RV_DATA'!L12), 6)</f>
        <v>202323.43</v>
      </c>
      <c r="G14" s="43">
        <f>ROUND(SmtRes!AA33, 6)</f>
        <v>2314.4499999999998</v>
      </c>
      <c r="H14" s="43">
        <f>ROUND(SUMIF(RV_DATA!Q8:'RV_DATA'!Q12, 188851784, RV_DATA!N8:'RV_DATA'!N12), 6)</f>
        <v>202323.43</v>
      </c>
      <c r="Q14">
        <v>3</v>
      </c>
    </row>
    <row r="15" spans="1:17" ht="15" x14ac:dyDescent="0.25">
      <c r="A15" s="61" t="s">
        <v>416</v>
      </c>
      <c r="B15" s="61"/>
      <c r="C15" s="61"/>
      <c r="D15" s="61"/>
      <c r="E15" s="62">
        <f>SUMIF(Q11:Q14, 3, F11:F14)</f>
        <v>423253.55999999994</v>
      </c>
      <c r="F15" s="62"/>
      <c r="G15" s="62">
        <f>SUMIF(Q11:Q14, 3, H11:H14)</f>
        <v>423253.55999999994</v>
      </c>
      <c r="H15" s="61"/>
    </row>
    <row r="16" spans="1:17" ht="16.5" x14ac:dyDescent="0.2">
      <c r="A16" s="66" t="str">
        <f>CONCATENATE("Раздел: ",IF(Source!G68&lt;&gt;"Новый раздел", Source!G68, ""))</f>
        <v>Раздел: Устройство асфальтобетонного покрытия - 13м2</v>
      </c>
      <c r="B16" s="67"/>
      <c r="C16" s="67"/>
      <c r="D16" s="67"/>
      <c r="E16" s="67"/>
      <c r="F16" s="67"/>
      <c r="G16" s="67"/>
      <c r="H16" s="67"/>
    </row>
    <row r="17" spans="1:17" ht="14.25" x14ac:dyDescent="0.2">
      <c r="A17" s="68" t="s">
        <v>415</v>
      </c>
      <c r="B17" s="69"/>
      <c r="C17" s="69"/>
      <c r="D17" s="69"/>
      <c r="E17" s="69"/>
      <c r="F17" s="69"/>
      <c r="G17" s="69"/>
      <c r="H17" s="69"/>
    </row>
    <row r="18" spans="1:17" ht="14.25" x14ac:dyDescent="0.2">
      <c r="A18" s="42" t="s">
        <v>247</v>
      </c>
      <c r="B18" s="35" t="s">
        <v>249</v>
      </c>
      <c r="C18" s="35" t="s">
        <v>115</v>
      </c>
      <c r="D18" s="36">
        <f>ROUND(SUMIF(RV_DATA!Q14:'RV_DATA'!Q18, -1404278575, RV_DATA!I14:'RV_DATA'!I18), 6)</f>
        <v>1.43</v>
      </c>
      <c r="E18" s="43">
        <f>ROUND(SmtRes!AE45, 6)</f>
        <v>559.23</v>
      </c>
      <c r="F18" s="43">
        <f>ROUND(SUMIF(RV_DATA!Q14:'RV_DATA'!Q18, -1404278575, RV_DATA!L14:'RV_DATA'!L18), 6)</f>
        <v>799.7</v>
      </c>
      <c r="G18" s="43">
        <f>ROUND(SmtRes!AA45, 6)</f>
        <v>559.23</v>
      </c>
      <c r="H18" s="43">
        <f>ROUND(SUMIF(RV_DATA!Q14:'RV_DATA'!Q18, -1404278575, RV_DATA!N14:'RV_DATA'!N18), 6)</f>
        <v>799.7</v>
      </c>
      <c r="Q18">
        <v>3</v>
      </c>
    </row>
    <row r="19" spans="1:17" ht="42.75" x14ac:dyDescent="0.2">
      <c r="A19" s="42" t="s">
        <v>262</v>
      </c>
      <c r="B19" s="35" t="s">
        <v>264</v>
      </c>
      <c r="C19" s="35" t="s">
        <v>115</v>
      </c>
      <c r="D19" s="36">
        <f>ROUND(SUMIF(RV_DATA!Q14:'RV_DATA'!Q18, -2076826296, RV_DATA!I14:'RV_DATA'!I18), 6)</f>
        <v>1.6379999999999999</v>
      </c>
      <c r="E19" s="43">
        <f>ROUND(SmtRes!AE54, 6)</f>
        <v>1910.98</v>
      </c>
      <c r="F19" s="43">
        <f>ROUND(SUMIF(RV_DATA!Q14:'RV_DATA'!Q18, -2076826296, RV_DATA!L14:'RV_DATA'!L18), 6)</f>
        <v>3130.19</v>
      </c>
      <c r="G19" s="43">
        <f>ROUND(SmtRes!AA54, 6)</f>
        <v>1910.98</v>
      </c>
      <c r="H19" s="43">
        <f>ROUND(SUMIF(RV_DATA!Q14:'RV_DATA'!Q18, -2076826296, RV_DATA!N14:'RV_DATA'!N18), 6)</f>
        <v>3130.19</v>
      </c>
      <c r="Q19">
        <v>3</v>
      </c>
    </row>
    <row r="20" spans="1:17" ht="14.25" x14ac:dyDescent="0.2">
      <c r="A20" s="42" t="s">
        <v>250</v>
      </c>
      <c r="B20" s="35" t="s">
        <v>252</v>
      </c>
      <c r="C20" s="35" t="s">
        <v>115</v>
      </c>
      <c r="D20" s="36">
        <f>ROUND(SUMIF(RV_DATA!Q14:'RV_DATA'!Q18, -101232329, RV_DATA!I14:'RV_DATA'!I18), 6)</f>
        <v>0.156</v>
      </c>
      <c r="E20" s="43">
        <f>ROUND(SmtRes!AE46, 6)</f>
        <v>28.77</v>
      </c>
      <c r="F20" s="43">
        <f>ROUND(SUMIF(RV_DATA!Q14:'RV_DATA'!Q18, -101232329, RV_DATA!L14:'RV_DATA'!L18), 6)</f>
        <v>4.49</v>
      </c>
      <c r="G20" s="43">
        <f>ROUND(SmtRes!AA46, 6)</f>
        <v>28.77</v>
      </c>
      <c r="H20" s="43">
        <f>ROUND(SUMIF(RV_DATA!Q14:'RV_DATA'!Q18, -101232329, RV_DATA!N14:'RV_DATA'!N18), 6)</f>
        <v>4.49</v>
      </c>
      <c r="Q20">
        <v>3</v>
      </c>
    </row>
    <row r="21" spans="1:17" ht="42.75" x14ac:dyDescent="0.2">
      <c r="A21" s="42" t="s">
        <v>271</v>
      </c>
      <c r="B21" s="35" t="s">
        <v>273</v>
      </c>
      <c r="C21" s="35" t="s">
        <v>29</v>
      </c>
      <c r="D21" s="36">
        <f>ROUND(SUMIF(RV_DATA!Q14:'RV_DATA'!Q18, 188851784, RV_DATA!I14:'RV_DATA'!I18), 6)</f>
        <v>1.5567500000000001</v>
      </c>
      <c r="E21" s="43">
        <f>ROUND(SmtRes!AE59, 6)</f>
        <v>2314.4499999999998</v>
      </c>
      <c r="F21" s="43">
        <f>ROUND(SUMIF(RV_DATA!Q14:'RV_DATA'!Q18, 188851784, RV_DATA!L14:'RV_DATA'!L18), 6)</f>
        <v>3603.02</v>
      </c>
      <c r="G21" s="43">
        <f>ROUND(SmtRes!AA59, 6)</f>
        <v>2314.4499999999998</v>
      </c>
      <c r="H21" s="43">
        <f>ROUND(SUMIF(RV_DATA!Q14:'RV_DATA'!Q18, 188851784, RV_DATA!N14:'RV_DATA'!N18), 6)</f>
        <v>3603.02</v>
      </c>
      <c r="Q21">
        <v>3</v>
      </c>
    </row>
    <row r="22" spans="1:17" ht="15" x14ac:dyDescent="0.25">
      <c r="A22" s="61" t="s">
        <v>416</v>
      </c>
      <c r="B22" s="61"/>
      <c r="C22" s="61"/>
      <c r="D22" s="61"/>
      <c r="E22" s="62">
        <f>SUMIF(Q18:Q21, 3, F18:F21)</f>
        <v>7537.4</v>
      </c>
      <c r="F22" s="62"/>
      <c r="G22" s="62">
        <f>SUMIF(Q18:Q21, 3, H18:H21)</f>
        <v>7537.4</v>
      </c>
      <c r="H22" s="61"/>
    </row>
    <row r="23" spans="1:17" ht="16.5" x14ac:dyDescent="0.2">
      <c r="A23" s="66" t="str">
        <f>CONCATENATE("Раздел: ",IF(Source!G108&lt;&gt;"Новый раздел", Source!G108, ""))</f>
        <v>Раздел: Ремонт отмостки - 85м2</v>
      </c>
      <c r="B23" s="67"/>
      <c r="C23" s="67"/>
      <c r="D23" s="67"/>
      <c r="E23" s="67"/>
      <c r="F23" s="67"/>
      <c r="G23" s="67"/>
      <c r="H23" s="67"/>
    </row>
    <row r="24" spans="1:17" ht="14.25" x14ac:dyDescent="0.2">
      <c r="A24" s="68" t="s">
        <v>415</v>
      </c>
      <c r="B24" s="69"/>
      <c r="C24" s="69"/>
      <c r="D24" s="69"/>
      <c r="E24" s="69"/>
      <c r="F24" s="69"/>
      <c r="G24" s="69"/>
      <c r="H24" s="69"/>
    </row>
    <row r="25" spans="1:17" ht="14.25" x14ac:dyDescent="0.2">
      <c r="A25" s="42" t="s">
        <v>247</v>
      </c>
      <c r="B25" s="35" t="s">
        <v>249</v>
      </c>
      <c r="C25" s="35" t="s">
        <v>115</v>
      </c>
      <c r="D25" s="36">
        <f>ROUND(SUMIF(RV_DATA!Q20:'RV_DATA'!Q24, -1404278575, RV_DATA!I20:'RV_DATA'!I24), 6)</f>
        <v>9.35</v>
      </c>
      <c r="E25" s="43">
        <f>ROUND(SmtRes!AE78, 6)</f>
        <v>559.23</v>
      </c>
      <c r="F25" s="43">
        <f>ROUND(SUMIF(RV_DATA!Q20:'RV_DATA'!Q24, -1404278575, RV_DATA!L20:'RV_DATA'!L24), 6)</f>
        <v>5228.8</v>
      </c>
      <c r="G25" s="43">
        <f>ROUND(SmtRes!AA78, 6)</f>
        <v>559.23</v>
      </c>
      <c r="H25" s="43">
        <f>ROUND(SUMIF(RV_DATA!Q20:'RV_DATA'!Q24, -1404278575, RV_DATA!N20:'RV_DATA'!N24), 6)</f>
        <v>5228.8</v>
      </c>
      <c r="Q25">
        <v>3</v>
      </c>
    </row>
    <row r="26" spans="1:17" ht="42.75" x14ac:dyDescent="0.2">
      <c r="A26" s="42" t="s">
        <v>262</v>
      </c>
      <c r="B26" s="35" t="s">
        <v>264</v>
      </c>
      <c r="C26" s="35" t="s">
        <v>115</v>
      </c>
      <c r="D26" s="36">
        <f>ROUND(SUMIF(RV_DATA!Q20:'RV_DATA'!Q24, -2076826296, RV_DATA!I20:'RV_DATA'!I24), 6)</f>
        <v>10.71</v>
      </c>
      <c r="E26" s="43">
        <f>ROUND(SmtRes!AE87, 6)</f>
        <v>1910.98</v>
      </c>
      <c r="F26" s="43">
        <f>ROUND(SUMIF(RV_DATA!Q20:'RV_DATA'!Q24, -2076826296, RV_DATA!L20:'RV_DATA'!L24), 6)</f>
        <v>20466.599999999999</v>
      </c>
      <c r="G26" s="43">
        <f>ROUND(SmtRes!AA87, 6)</f>
        <v>1910.98</v>
      </c>
      <c r="H26" s="43">
        <f>ROUND(SUMIF(RV_DATA!Q20:'RV_DATA'!Q24, -2076826296, RV_DATA!N20:'RV_DATA'!N24), 6)</f>
        <v>20466.599999999999</v>
      </c>
      <c r="Q26">
        <v>3</v>
      </c>
    </row>
    <row r="27" spans="1:17" ht="14.25" x14ac:dyDescent="0.2">
      <c r="A27" s="42" t="s">
        <v>250</v>
      </c>
      <c r="B27" s="35" t="s">
        <v>252</v>
      </c>
      <c r="C27" s="35" t="s">
        <v>115</v>
      </c>
      <c r="D27" s="36">
        <f>ROUND(SUMIF(RV_DATA!Q20:'RV_DATA'!Q24, -101232329, RV_DATA!I20:'RV_DATA'!I24), 6)</f>
        <v>1.02</v>
      </c>
      <c r="E27" s="43">
        <f>ROUND(SmtRes!AE79, 6)</f>
        <v>28.77</v>
      </c>
      <c r="F27" s="43">
        <f>ROUND(SUMIF(RV_DATA!Q20:'RV_DATA'!Q24, -101232329, RV_DATA!L20:'RV_DATA'!L24), 6)</f>
        <v>29.35</v>
      </c>
      <c r="G27" s="43">
        <f>ROUND(SmtRes!AA79, 6)</f>
        <v>28.77</v>
      </c>
      <c r="H27" s="43">
        <f>ROUND(SUMIF(RV_DATA!Q20:'RV_DATA'!Q24, -101232329, RV_DATA!N20:'RV_DATA'!N24), 6)</f>
        <v>29.35</v>
      </c>
      <c r="Q27">
        <v>3</v>
      </c>
    </row>
    <row r="28" spans="1:17" ht="42.75" x14ac:dyDescent="0.2">
      <c r="A28" s="42" t="s">
        <v>271</v>
      </c>
      <c r="B28" s="35" t="s">
        <v>273</v>
      </c>
      <c r="C28" s="35" t="s">
        <v>29</v>
      </c>
      <c r="D28" s="36">
        <f>ROUND(SUMIF(RV_DATA!Q20:'RV_DATA'!Q24, 188851784, RV_DATA!I20:'RV_DATA'!I24), 6)</f>
        <v>10.178750000000001</v>
      </c>
      <c r="E28" s="43">
        <f>ROUND(SmtRes!AE92, 6)</f>
        <v>2314.4499999999998</v>
      </c>
      <c r="F28" s="43">
        <f>ROUND(SUMIF(RV_DATA!Q20:'RV_DATA'!Q24, 188851784, RV_DATA!L20:'RV_DATA'!L24), 6)</f>
        <v>23558.21</v>
      </c>
      <c r="G28" s="43">
        <f>ROUND(SmtRes!AA92, 6)</f>
        <v>2314.4499999999998</v>
      </c>
      <c r="H28" s="43">
        <f>ROUND(SUMIF(RV_DATA!Q20:'RV_DATA'!Q24, 188851784, RV_DATA!N20:'RV_DATA'!N24), 6)</f>
        <v>23558.21</v>
      </c>
      <c r="Q28">
        <v>3</v>
      </c>
    </row>
    <row r="29" spans="1:17" ht="15" x14ac:dyDescent="0.25">
      <c r="A29" s="61" t="s">
        <v>416</v>
      </c>
      <c r="B29" s="61"/>
      <c r="C29" s="61"/>
      <c r="D29" s="61"/>
      <c r="E29" s="62">
        <f>SUMIF(Q25:Q28, 3, F25:F28)</f>
        <v>49282.959999999992</v>
      </c>
      <c r="F29" s="62"/>
      <c r="G29" s="62">
        <f>SUMIF(Q25:Q28, 3, H25:H28)</f>
        <v>49282.959999999992</v>
      </c>
      <c r="H29" s="61"/>
    </row>
    <row r="30" spans="1:17" ht="16.5" x14ac:dyDescent="0.2">
      <c r="A30" s="66" t="str">
        <f>CONCATENATE("Раздел: ",IF(Source!G150&lt;&gt;"Новый раздел", Source!G150, ""))</f>
        <v>Раздел: Замена бортового камня</v>
      </c>
      <c r="B30" s="67"/>
      <c r="C30" s="67"/>
      <c r="D30" s="67"/>
      <c r="E30" s="67"/>
      <c r="F30" s="67"/>
      <c r="G30" s="67"/>
      <c r="H30" s="67"/>
    </row>
    <row r="31" spans="1:17" ht="16.5" x14ac:dyDescent="0.2">
      <c r="A31" s="66" t="str">
        <f>CONCATENATE("Подраздел: ",IF(Source!G154&lt;&gt;"Новый подраздел", Source!G154, ""))</f>
        <v>Подраздел: Замена дорожного бортового камня - 70,4м.п.</v>
      </c>
      <c r="B31" s="67"/>
      <c r="C31" s="67"/>
      <c r="D31" s="67"/>
      <c r="E31" s="67"/>
      <c r="F31" s="67"/>
      <c r="G31" s="67"/>
      <c r="H31" s="67"/>
    </row>
    <row r="32" spans="1:17" ht="14.25" x14ac:dyDescent="0.2">
      <c r="A32" s="68" t="s">
        <v>415</v>
      </c>
      <c r="B32" s="69"/>
      <c r="C32" s="69"/>
      <c r="D32" s="69"/>
      <c r="E32" s="69"/>
      <c r="F32" s="69"/>
      <c r="G32" s="69"/>
      <c r="H32" s="69"/>
    </row>
    <row r="33" spans="1:17" ht="71.25" x14ac:dyDescent="0.2">
      <c r="A33" s="42" t="s">
        <v>289</v>
      </c>
      <c r="B33" s="35" t="s">
        <v>291</v>
      </c>
      <c r="C33" s="35" t="s">
        <v>115</v>
      </c>
      <c r="D33" s="36">
        <f>ROUND(SUMIF(RV_DATA!Q27:'RV_DATA'!Q29, 624856402, RV_DATA!I27:'RV_DATA'!I29), 6)</f>
        <v>4.1536</v>
      </c>
      <c r="E33" s="43">
        <f>ROUND(SmtRes!AE98, 6)</f>
        <v>3532.91</v>
      </c>
      <c r="F33" s="43">
        <f>ROUND(SUMIF(RV_DATA!Q27:'RV_DATA'!Q29, 624856402, RV_DATA!L27:'RV_DATA'!L29), 6)</f>
        <v>14674.29</v>
      </c>
      <c r="G33" s="43">
        <f>ROUND(SmtRes!AA98, 6)</f>
        <v>3532.91</v>
      </c>
      <c r="H33" s="43">
        <f>ROUND(SUMIF(RV_DATA!Q27:'RV_DATA'!Q29, 624856402, RV_DATA!N27:'RV_DATA'!N29), 6)</f>
        <v>14674.29</v>
      </c>
      <c r="Q33">
        <v>3</v>
      </c>
    </row>
    <row r="34" spans="1:17" ht="14.25" x14ac:dyDescent="0.2">
      <c r="A34" s="42" t="s">
        <v>292</v>
      </c>
      <c r="B34" s="35" t="s">
        <v>294</v>
      </c>
      <c r="C34" s="35" t="s">
        <v>115</v>
      </c>
      <c r="D34" s="36">
        <f>ROUND(SUMIF(RV_DATA!Q27:'RV_DATA'!Q29, -710159848, RV_DATA!I27:'RV_DATA'!I29), 6)</f>
        <v>0.4224</v>
      </c>
      <c r="E34" s="43">
        <f>ROUND(SmtRes!AE99, 6)</f>
        <v>2914.58</v>
      </c>
      <c r="F34" s="43">
        <f>ROUND(SUMIF(RV_DATA!Q27:'RV_DATA'!Q29, -710159848, RV_DATA!L27:'RV_DATA'!L29), 6)</f>
        <v>1231.1199999999999</v>
      </c>
      <c r="G34" s="43">
        <f>ROUND(SmtRes!AA99, 6)</f>
        <v>2914.58</v>
      </c>
      <c r="H34" s="43">
        <f>ROUND(SUMIF(RV_DATA!Q27:'RV_DATA'!Q29, -710159848, RV_DATA!N27:'RV_DATA'!N29), 6)</f>
        <v>1231.1199999999999</v>
      </c>
      <c r="Q34">
        <v>3</v>
      </c>
    </row>
    <row r="35" spans="1:17" ht="28.5" x14ac:dyDescent="0.2">
      <c r="A35" s="42" t="s">
        <v>295</v>
      </c>
      <c r="B35" s="35" t="s">
        <v>297</v>
      </c>
      <c r="C35" s="35" t="s">
        <v>115</v>
      </c>
      <c r="D35" s="36">
        <f>ROUND(SUMIF(RV_DATA!Q27:'RV_DATA'!Q29, -1944301660, RV_DATA!I27:'RV_DATA'!I29), 6)</f>
        <v>3.0694400000000002</v>
      </c>
      <c r="E35" s="43">
        <f>ROUND(SmtRes!AE100, 6)</f>
        <v>5979.89</v>
      </c>
      <c r="F35" s="43">
        <f>ROUND(SUMIF(RV_DATA!Q27:'RV_DATA'!Q29, -1944301660, RV_DATA!L27:'RV_DATA'!L29), 6)</f>
        <v>18354.91</v>
      </c>
      <c r="G35" s="43">
        <f>ROUND(SmtRes!AA100, 6)</f>
        <v>5979.89</v>
      </c>
      <c r="H35" s="43">
        <f>ROUND(SUMIF(RV_DATA!Q27:'RV_DATA'!Q29, -1944301660, RV_DATA!N27:'RV_DATA'!N29), 6)</f>
        <v>18354.91</v>
      </c>
      <c r="Q35">
        <v>3</v>
      </c>
    </row>
    <row r="36" spans="1:17" ht="15" x14ac:dyDescent="0.25">
      <c r="A36" s="61" t="s">
        <v>416</v>
      </c>
      <c r="B36" s="61"/>
      <c r="C36" s="61"/>
      <c r="D36" s="61"/>
      <c r="E36" s="62">
        <f>SUMIF(Q33:Q35, 3, F33:F35)</f>
        <v>34260.32</v>
      </c>
      <c r="F36" s="62"/>
      <c r="G36" s="62">
        <f>SUMIF(Q33:Q35, 3, H33:H35)</f>
        <v>34260.32</v>
      </c>
      <c r="H36" s="61"/>
    </row>
    <row r="37" spans="1:17" ht="16.5" x14ac:dyDescent="0.2">
      <c r="A37" s="66" t="str">
        <f>CONCATENATE("Подраздел: ",IF(Source!G191&lt;&gt;"Новый подраздел", Source!G191, ""))</f>
        <v>Подраздел: Замена садового бортового камня - 440м.п.</v>
      </c>
      <c r="B37" s="67"/>
      <c r="C37" s="67"/>
      <c r="D37" s="67"/>
      <c r="E37" s="67"/>
      <c r="F37" s="67"/>
      <c r="G37" s="67"/>
      <c r="H37" s="67"/>
    </row>
    <row r="38" spans="1:17" ht="14.25" x14ac:dyDescent="0.2">
      <c r="A38" s="68" t="s">
        <v>415</v>
      </c>
      <c r="B38" s="69"/>
      <c r="C38" s="69"/>
      <c r="D38" s="69"/>
      <c r="E38" s="69"/>
      <c r="F38" s="69"/>
      <c r="G38" s="69"/>
      <c r="H38" s="69"/>
    </row>
    <row r="39" spans="1:17" ht="57" x14ac:dyDescent="0.2">
      <c r="A39" s="42" t="s">
        <v>303</v>
      </c>
      <c r="B39" s="35" t="s">
        <v>305</v>
      </c>
      <c r="C39" s="35" t="s">
        <v>115</v>
      </c>
      <c r="D39" s="36">
        <f>ROUND(SUMIF(RV_DATA!Q31:'RV_DATA'!Q36, -14122590, RV_DATA!I31:'RV_DATA'!I36), 6)</f>
        <v>37.840000000000003</v>
      </c>
      <c r="E39" s="43">
        <f>ROUND(SmtRes!AE108, 6)</f>
        <v>3471.23</v>
      </c>
      <c r="F39" s="43">
        <f>ROUND(SUMIF(RV_DATA!Q31:'RV_DATA'!Q36, -14122590, RV_DATA!L31:'RV_DATA'!L36), 6)</f>
        <v>131351.34</v>
      </c>
      <c r="G39" s="43">
        <f>ROUND(SmtRes!AA108, 6)</f>
        <v>3471.23</v>
      </c>
      <c r="H39" s="43">
        <f>ROUND(SUMIF(RV_DATA!Q31:'RV_DATA'!Q36, -14122590, RV_DATA!N31:'RV_DATA'!N36), 6)</f>
        <v>131351.34</v>
      </c>
      <c r="Q39">
        <v>3</v>
      </c>
    </row>
    <row r="40" spans="1:17" ht="14.25" x14ac:dyDescent="0.2">
      <c r="A40" s="42" t="s">
        <v>292</v>
      </c>
      <c r="B40" s="35" t="s">
        <v>294</v>
      </c>
      <c r="C40" s="35" t="s">
        <v>115</v>
      </c>
      <c r="D40" s="36">
        <f>ROUND(SUMIF(RV_DATA!Q31:'RV_DATA'!Q36, -710159848, RV_DATA!I31:'RV_DATA'!I36), 6)</f>
        <v>0.17599999999999999</v>
      </c>
      <c r="E40" s="43">
        <f>ROUND(SmtRes!AE109, 6)</f>
        <v>2914.58</v>
      </c>
      <c r="F40" s="43">
        <f>ROUND(SUMIF(RV_DATA!Q31:'RV_DATA'!Q36, -710159848, RV_DATA!L31:'RV_DATA'!L36), 6)</f>
        <v>512.96</v>
      </c>
      <c r="G40" s="43">
        <f>ROUND(SmtRes!AA109, 6)</f>
        <v>2914.58</v>
      </c>
      <c r="H40" s="43">
        <f>ROUND(SUMIF(RV_DATA!Q31:'RV_DATA'!Q36, -710159848, RV_DATA!N31:'RV_DATA'!N36), 6)</f>
        <v>512.96</v>
      </c>
      <c r="Q40">
        <v>3</v>
      </c>
    </row>
    <row r="41" spans="1:17" ht="28.5" x14ac:dyDescent="0.2">
      <c r="A41" s="42" t="s">
        <v>306</v>
      </c>
      <c r="B41" s="35" t="s">
        <v>308</v>
      </c>
      <c r="C41" s="35" t="s">
        <v>115</v>
      </c>
      <c r="D41" s="36">
        <f>ROUND(SUMIF(RV_DATA!Q31:'RV_DATA'!Q36, -1502632616, RV_DATA!I31:'RV_DATA'!I36), 6)</f>
        <v>14.08</v>
      </c>
      <c r="E41" s="43">
        <f>ROUND(SmtRes!AE110, 6)</f>
        <v>8526.86</v>
      </c>
      <c r="F41" s="43">
        <f>ROUND(SUMIF(RV_DATA!Q31:'RV_DATA'!Q36, -1502632616, RV_DATA!L31:'RV_DATA'!L36), 6)</f>
        <v>120058.18</v>
      </c>
      <c r="G41" s="43">
        <f>ROUND(SmtRes!AA110, 6)</f>
        <v>8526.86</v>
      </c>
      <c r="H41" s="43">
        <f>ROUND(SUMIF(RV_DATA!Q31:'RV_DATA'!Q36, -1502632616, RV_DATA!N31:'RV_DATA'!N36), 6)</f>
        <v>120058.18</v>
      </c>
      <c r="Q41">
        <v>3</v>
      </c>
    </row>
    <row r="42" spans="1:17" ht="15" x14ac:dyDescent="0.25">
      <c r="A42" s="61" t="s">
        <v>416</v>
      </c>
      <c r="B42" s="61"/>
      <c r="C42" s="61"/>
      <c r="D42" s="61"/>
      <c r="E42" s="62">
        <f>SUMIF(Q39:Q41, 3, F39:F41)</f>
        <v>251922.47999999998</v>
      </c>
      <c r="F42" s="62"/>
      <c r="G42" s="62">
        <f>SUMIF(Q39:Q41, 3, H39:H41)</f>
        <v>251922.47999999998</v>
      </c>
      <c r="H42" s="61"/>
    </row>
    <row r="44" spans="1:17" ht="16.5" x14ac:dyDescent="0.2">
      <c r="A44" s="63" t="str">
        <f>CONCATENATE("Итого по разделу: ",IF(Source!G228&lt;&gt;"Новый раздел", Source!G228, ""))</f>
        <v>Итого по разделу: Замена бортового камня</v>
      </c>
      <c r="B44" s="64"/>
      <c r="C44" s="64"/>
      <c r="D44" s="64"/>
      <c r="E44" s="64"/>
      <c r="F44" s="64"/>
      <c r="G44" s="64"/>
      <c r="H44" s="65"/>
    </row>
    <row r="45" spans="1:17" ht="15" x14ac:dyDescent="0.25">
      <c r="A45" s="61" t="s">
        <v>416</v>
      </c>
      <c r="B45" s="61"/>
      <c r="C45" s="61"/>
      <c r="D45" s="61"/>
      <c r="E45" s="62">
        <f>SUMIF(Q30:Q44, 3, F30:F44)</f>
        <v>286182.8</v>
      </c>
      <c r="F45" s="62"/>
      <c r="G45" s="62">
        <f>SUMIF(Q30:Q44, 3, H30:H44)</f>
        <v>286182.8</v>
      </c>
      <c r="H45" s="61"/>
    </row>
    <row r="46" spans="1:17" ht="14.25" hidden="1" customHeight="1" x14ac:dyDescent="0.25">
      <c r="A46" s="61" t="s">
        <v>417</v>
      </c>
      <c r="B46" s="61"/>
      <c r="C46" s="61"/>
      <c r="D46" s="61"/>
      <c r="E46" s="62">
        <f>SUMIF(Q30:Q45, 4, F30:F45)</f>
        <v>0</v>
      </c>
      <c r="F46" s="62"/>
      <c r="G46" s="62">
        <f>SUMIF(Q30:Q45, 4, H30:H45)</f>
        <v>0</v>
      </c>
      <c r="H46" s="61"/>
    </row>
    <row r="47" spans="1:17" ht="14.25" hidden="1" customHeight="1" x14ac:dyDescent="0.25">
      <c r="A47" s="61" t="s">
        <v>418</v>
      </c>
      <c r="B47" s="61"/>
      <c r="C47" s="61"/>
      <c r="D47" s="61"/>
      <c r="E47" s="62">
        <f>SUMIF(Q30:Q46, 5, F30:F46)</f>
        <v>0</v>
      </c>
      <c r="F47" s="62"/>
      <c r="G47" s="62">
        <f>SUMIF(Q30:Q46, 5, H30:H46)</f>
        <v>0</v>
      </c>
      <c r="H47" s="61"/>
    </row>
    <row r="48" spans="1:17" ht="14.25" hidden="1" customHeight="1" x14ac:dyDescent="0.25">
      <c r="A48" s="61" t="s">
        <v>419</v>
      </c>
      <c r="B48" s="61"/>
      <c r="C48" s="61"/>
      <c r="D48" s="61"/>
      <c r="E48" s="62">
        <f>SUMIF(Q30:Q47, 6, F30:F47)</f>
        <v>0</v>
      </c>
      <c r="F48" s="62"/>
      <c r="G48" s="62">
        <f>SUMIF(Q30:Q47, 6, H30:H47)</f>
        <v>0</v>
      </c>
      <c r="H48" s="61"/>
    </row>
    <row r="50" spans="1:17" ht="16.5" x14ac:dyDescent="0.2">
      <c r="A50" s="66" t="str">
        <f>CONCATENATE("Раздел: ",IF(Source!G259&lt;&gt;"Новый раздел", Source!G259, ""))</f>
        <v>Раздел: Устройство площадки ПДД - 85,7м2</v>
      </c>
      <c r="B50" s="67"/>
      <c r="C50" s="67"/>
      <c r="D50" s="67"/>
      <c r="E50" s="67"/>
      <c r="F50" s="67"/>
      <c r="G50" s="67"/>
      <c r="H50" s="67"/>
    </row>
    <row r="51" spans="1:17" ht="14.25" x14ac:dyDescent="0.2">
      <c r="A51" s="68" t="s">
        <v>415</v>
      </c>
      <c r="B51" s="69"/>
      <c r="C51" s="69"/>
      <c r="D51" s="69"/>
      <c r="E51" s="69"/>
      <c r="F51" s="69"/>
      <c r="G51" s="69"/>
      <c r="H51" s="69"/>
    </row>
    <row r="52" spans="1:17" ht="14.25" x14ac:dyDescent="0.2">
      <c r="A52" s="42" t="s">
        <v>247</v>
      </c>
      <c r="B52" s="35" t="s">
        <v>249</v>
      </c>
      <c r="C52" s="35" t="s">
        <v>115</v>
      </c>
      <c r="D52" s="36">
        <f>ROUND(SUMIF(RV_DATA!Q38:'RV_DATA'!Q51, -1404278575, RV_DATA!I38:'RV_DATA'!I51), 6)</f>
        <v>9.4269999999999996</v>
      </c>
      <c r="E52" s="43">
        <f>ROUND(SmtRes!AE132, 6)</f>
        <v>559.23</v>
      </c>
      <c r="F52" s="43">
        <f>ROUND(SUMIF(RV_DATA!Q38:'RV_DATA'!Q51, -1404278575, RV_DATA!L38:'RV_DATA'!L51), 6)</f>
        <v>5271.86</v>
      </c>
      <c r="G52" s="43">
        <f>ROUND(SmtRes!AA132, 6)</f>
        <v>559.23</v>
      </c>
      <c r="H52" s="43">
        <f>ROUND(SUMIF(RV_DATA!Q38:'RV_DATA'!Q51, -1404278575, RV_DATA!N38:'RV_DATA'!N51), 6)</f>
        <v>5271.86</v>
      </c>
      <c r="Q52">
        <v>3</v>
      </c>
    </row>
    <row r="53" spans="1:17" ht="42.75" x14ac:dyDescent="0.2">
      <c r="A53" s="42" t="s">
        <v>262</v>
      </c>
      <c r="B53" s="35" t="s">
        <v>264</v>
      </c>
      <c r="C53" s="35" t="s">
        <v>115</v>
      </c>
      <c r="D53" s="36">
        <f>ROUND(SUMIF(RV_DATA!Q38:'RV_DATA'!Q51, -2076826296, RV_DATA!I38:'RV_DATA'!I51), 6)</f>
        <v>10.7982</v>
      </c>
      <c r="E53" s="43">
        <f>ROUND(SmtRes!AE141, 6)</f>
        <v>1910.98</v>
      </c>
      <c r="F53" s="43">
        <f>ROUND(SUMIF(RV_DATA!Q38:'RV_DATA'!Q51, -2076826296, RV_DATA!L38:'RV_DATA'!L51), 6)</f>
        <v>20635.14</v>
      </c>
      <c r="G53" s="43">
        <f>ROUND(SmtRes!AA141, 6)</f>
        <v>1910.98</v>
      </c>
      <c r="H53" s="43">
        <f>ROUND(SUMIF(RV_DATA!Q38:'RV_DATA'!Q51, -2076826296, RV_DATA!N38:'RV_DATA'!N51), 6)</f>
        <v>20635.14</v>
      </c>
      <c r="Q53">
        <v>3</v>
      </c>
    </row>
    <row r="54" spans="1:17" ht="14.25" x14ac:dyDescent="0.2">
      <c r="A54" s="42" t="s">
        <v>250</v>
      </c>
      <c r="B54" s="35" t="s">
        <v>252</v>
      </c>
      <c r="C54" s="35" t="s">
        <v>115</v>
      </c>
      <c r="D54" s="36">
        <f>ROUND(SUMIF(RV_DATA!Q38:'RV_DATA'!Q51, -101232329, RV_DATA!I38:'RV_DATA'!I51), 6)</f>
        <v>1.0284</v>
      </c>
      <c r="E54" s="43">
        <f>ROUND(SmtRes!AE133, 6)</f>
        <v>28.77</v>
      </c>
      <c r="F54" s="43">
        <f>ROUND(SUMIF(RV_DATA!Q38:'RV_DATA'!Q51, -101232329, RV_DATA!L38:'RV_DATA'!L51), 6)</f>
        <v>29.59</v>
      </c>
      <c r="G54" s="43">
        <f>ROUND(SmtRes!AA133, 6)</f>
        <v>28.77</v>
      </c>
      <c r="H54" s="43">
        <f>ROUND(SUMIF(RV_DATA!Q38:'RV_DATA'!Q51, -101232329, RV_DATA!N38:'RV_DATA'!N51), 6)</f>
        <v>29.59</v>
      </c>
      <c r="Q54">
        <v>3</v>
      </c>
    </row>
    <row r="55" spans="1:17" ht="28.5" x14ac:dyDescent="0.2">
      <c r="A55" s="42" t="s">
        <v>321</v>
      </c>
      <c r="B55" s="35" t="s">
        <v>323</v>
      </c>
      <c r="C55" s="35" t="s">
        <v>176</v>
      </c>
      <c r="D55" s="36">
        <f>ROUND(SUMIF(RV_DATA!Q38:'RV_DATA'!Q51, 527232982, RV_DATA!I38:'RV_DATA'!I51), 6)</f>
        <v>4.7991999999999999</v>
      </c>
      <c r="E55" s="43">
        <v>13.72</v>
      </c>
      <c r="F55" s="43">
        <f>D55*E55</f>
        <v>65.845023999999995</v>
      </c>
      <c r="G55" s="43">
        <v>13.72</v>
      </c>
      <c r="H55" s="43">
        <f>F55</f>
        <v>65.845023999999995</v>
      </c>
      <c r="Q55">
        <v>3</v>
      </c>
    </row>
    <row r="56" spans="1:17" ht="14.25" x14ac:dyDescent="0.2">
      <c r="A56" s="42" t="s">
        <v>324</v>
      </c>
      <c r="B56" s="35" t="s">
        <v>326</v>
      </c>
      <c r="C56" s="35" t="s">
        <v>29</v>
      </c>
      <c r="D56" s="36">
        <f>ROUND(SUMIF(RV_DATA!Q38:'RV_DATA'!Q51, 1343091473, RV_DATA!I38:'RV_DATA'!I51), 6)</f>
        <v>2.7000000000000001E-3</v>
      </c>
      <c r="E56" s="43">
        <f>ROUND(SmtRes!AE153, 6)</f>
        <v>100975.39</v>
      </c>
      <c r="F56" s="43">
        <f>ROUND(SUMIF(RV_DATA!Q38:'RV_DATA'!Q51, 1343091473, RV_DATA!L38:'RV_DATA'!L51), 6)</f>
        <v>272.58999999999997</v>
      </c>
      <c r="G56" s="43">
        <f>ROUND(SmtRes!AA153, 6)</f>
        <v>100975.39</v>
      </c>
      <c r="H56" s="43">
        <f>ROUND(SUMIF(RV_DATA!Q38:'RV_DATA'!Q51, 1343091473, RV_DATA!N38:'RV_DATA'!N51), 6)</f>
        <v>272.58999999999997</v>
      </c>
      <c r="Q56">
        <v>3</v>
      </c>
    </row>
    <row r="57" spans="1:17" ht="28.5" x14ac:dyDescent="0.2">
      <c r="A57" s="42" t="s">
        <v>327</v>
      </c>
      <c r="B57" s="35" t="s">
        <v>329</v>
      </c>
      <c r="C57" s="35" t="s">
        <v>330</v>
      </c>
      <c r="D57" s="36">
        <f>ROUND(SUMIF(RV_DATA!Q38:'RV_DATA'!Q51, 64334613, RV_DATA!I38:'RV_DATA'!I51), 6)</f>
        <v>755.87400000000002</v>
      </c>
      <c r="E57" s="43">
        <f>ROUND(SmtRes!AE154, 6)</f>
        <v>20.03</v>
      </c>
      <c r="F57" s="43">
        <f>ROUND(SUMIF(RV_DATA!Q38:'RV_DATA'!Q51, 64334613, RV_DATA!L38:'RV_DATA'!L51), 6)</f>
        <v>15140.16</v>
      </c>
      <c r="G57" s="43">
        <f>ROUND(SmtRes!AA154, 6)</f>
        <v>20.03</v>
      </c>
      <c r="H57" s="43">
        <f>ROUND(SUMIF(RV_DATA!Q38:'RV_DATA'!Q51, 64334613, RV_DATA!N38:'RV_DATA'!N51), 6)</f>
        <v>15140.16</v>
      </c>
      <c r="Q57">
        <v>3</v>
      </c>
    </row>
    <row r="58" spans="1:17" ht="57" x14ac:dyDescent="0.2">
      <c r="A58" s="42" t="s">
        <v>331</v>
      </c>
      <c r="B58" s="35" t="s">
        <v>333</v>
      </c>
      <c r="C58" s="35" t="s">
        <v>330</v>
      </c>
      <c r="D58" s="36">
        <f>ROUND(SUMIF(RV_DATA!Q38:'RV_DATA'!Q51, 1499598369, RV_DATA!I38:'RV_DATA'!I51), 6)</f>
        <v>242.95949999999999</v>
      </c>
      <c r="E58" s="43">
        <f>ROUND(SmtRes!AE155, 6)</f>
        <v>175.18</v>
      </c>
      <c r="F58" s="43">
        <f>ROUND(SUMIF(RV_DATA!Q38:'RV_DATA'!Q51, 1499598369, RV_DATA!L38:'RV_DATA'!L51), 6)</f>
        <v>42561.65</v>
      </c>
      <c r="G58" s="43">
        <f>ROUND(SmtRes!AA155, 6)</f>
        <v>175.18</v>
      </c>
      <c r="H58" s="43">
        <f>ROUND(SUMIF(RV_DATA!Q38:'RV_DATA'!Q51, 1499598369, RV_DATA!N38:'RV_DATA'!N51), 6)</f>
        <v>42561.65</v>
      </c>
      <c r="Q58">
        <v>3</v>
      </c>
    </row>
    <row r="59" spans="1:17" ht="28.5" x14ac:dyDescent="0.2">
      <c r="A59" s="42" t="s">
        <v>334</v>
      </c>
      <c r="B59" s="35" t="s">
        <v>336</v>
      </c>
      <c r="C59" s="35" t="s">
        <v>29</v>
      </c>
      <c r="D59" s="36">
        <f>ROUND(SUMIF(RV_DATA!Q38:'RV_DATA'!Q51, -134482857, RV_DATA!I38:'RV_DATA'!I51), 6)</f>
        <v>5.3990999999999997E-2</v>
      </c>
      <c r="E59" s="43">
        <f>ROUND(SmtRes!AE156, 6)</f>
        <v>360260.32</v>
      </c>
      <c r="F59" s="43">
        <f>ROUND(SUMIF(RV_DATA!Q38:'RV_DATA'!Q51, -134482857, RV_DATA!L38:'RV_DATA'!L51), 6)</f>
        <v>19450.810000000001</v>
      </c>
      <c r="G59" s="43">
        <f>ROUND(SmtRes!AA156, 6)</f>
        <v>360260.32</v>
      </c>
      <c r="H59" s="43">
        <f>ROUND(SUMIF(RV_DATA!Q38:'RV_DATA'!Q51, -134482857, RV_DATA!N38:'RV_DATA'!N51), 6)</f>
        <v>19450.810000000001</v>
      </c>
      <c r="Q59">
        <v>3</v>
      </c>
    </row>
    <row r="60" spans="1:17" ht="28.5" x14ac:dyDescent="0.2">
      <c r="A60" s="42" t="s">
        <v>340</v>
      </c>
      <c r="B60" s="35" t="s">
        <v>342</v>
      </c>
      <c r="C60" s="35" t="s">
        <v>29</v>
      </c>
      <c r="D60" s="36">
        <f>ROUND(SUMIF(RV_DATA!Q38:'RV_DATA'!Q51, 2070703896, RV_DATA!I38:'RV_DATA'!I51), 6)</f>
        <v>1.06E-2</v>
      </c>
      <c r="E60" s="43">
        <f>ROUND(SmtRes!AE165, 6)</f>
        <v>84127.039999999994</v>
      </c>
      <c r="F60" s="43">
        <f>ROUND(SUMIF(RV_DATA!Q38:'RV_DATA'!Q51, 2070703896, RV_DATA!L38:'RV_DATA'!L51), 6)</f>
        <v>891.75</v>
      </c>
      <c r="G60" s="43">
        <f>ROUND(SmtRes!AA165, 6)</f>
        <v>84127.039999999994</v>
      </c>
      <c r="H60" s="43">
        <f>ROUND(SUMIF(RV_DATA!Q38:'RV_DATA'!Q51, 2070703896, RV_DATA!N38:'RV_DATA'!N51), 6)</f>
        <v>891.75</v>
      </c>
      <c r="Q60">
        <v>3</v>
      </c>
    </row>
    <row r="61" spans="1:17" ht="42.75" x14ac:dyDescent="0.2">
      <c r="A61" s="42" t="s">
        <v>271</v>
      </c>
      <c r="B61" s="35" t="s">
        <v>273</v>
      </c>
      <c r="C61" s="35" t="s">
        <v>29</v>
      </c>
      <c r="D61" s="36">
        <f>ROUND(SUMIF(RV_DATA!Q38:'RV_DATA'!Q51, 188851784, RV_DATA!I38:'RV_DATA'!I51), 6)</f>
        <v>10.262575</v>
      </c>
      <c r="E61" s="43">
        <f>ROUND(SmtRes!AE146, 6)</f>
        <v>2314.4499999999998</v>
      </c>
      <c r="F61" s="43">
        <f>ROUND(SUMIF(RV_DATA!Q38:'RV_DATA'!Q51, 188851784, RV_DATA!L38:'RV_DATA'!L51), 6)</f>
        <v>23752.22</v>
      </c>
      <c r="G61" s="43">
        <f>ROUND(SmtRes!AA146, 6)</f>
        <v>2314.4499999999998</v>
      </c>
      <c r="H61" s="43">
        <f>ROUND(SUMIF(RV_DATA!Q38:'RV_DATA'!Q51, 188851784, RV_DATA!N38:'RV_DATA'!N51), 6)</f>
        <v>23752.22</v>
      </c>
      <c r="Q61">
        <v>3</v>
      </c>
    </row>
    <row r="62" spans="1:17" ht="15" x14ac:dyDescent="0.25">
      <c r="A62" s="61" t="s">
        <v>416</v>
      </c>
      <c r="B62" s="61"/>
      <c r="C62" s="61"/>
      <c r="D62" s="61"/>
      <c r="E62" s="62">
        <f>SUMIF(Q52:Q61, 3, F52:F61)</f>
        <v>128071.615024</v>
      </c>
      <c r="F62" s="62"/>
      <c r="G62" s="62">
        <f>SUMIF(Q52:Q61, 3, H52:H61)</f>
        <v>128071.615024</v>
      </c>
      <c r="H62" s="61"/>
    </row>
    <row r="64" spans="1:17" ht="16.5" x14ac:dyDescent="0.2">
      <c r="A64" s="63" t="str">
        <f>CONCATENATE("Итого по разделу: ",IF(Source!G271&lt;&gt;"Новый раздел", Source!G271, ""))</f>
        <v>Итого по разделу: Устройство площадки ПДД - 85,7м2</v>
      </c>
      <c r="B64" s="64"/>
      <c r="C64" s="64"/>
      <c r="D64" s="64"/>
      <c r="E64" s="64"/>
      <c r="F64" s="64"/>
      <c r="G64" s="64"/>
      <c r="H64" s="65"/>
    </row>
    <row r="65" spans="1:17" ht="15" x14ac:dyDescent="0.25">
      <c r="A65" s="61" t="s">
        <v>416</v>
      </c>
      <c r="B65" s="61"/>
      <c r="C65" s="61"/>
      <c r="D65" s="61"/>
      <c r="E65" s="62">
        <f>SUMIF(Q50:Q64, 3, F50:F64)</f>
        <v>128071.615024</v>
      </c>
      <c r="F65" s="62"/>
      <c r="G65" s="62">
        <f>SUMIF(Q50:Q64, 3, H50:H64)</f>
        <v>128071.615024</v>
      </c>
      <c r="H65" s="61"/>
    </row>
    <row r="66" spans="1:17" ht="14.25" hidden="1" customHeight="1" x14ac:dyDescent="0.25">
      <c r="A66" s="61" t="s">
        <v>417</v>
      </c>
      <c r="B66" s="61"/>
      <c r="C66" s="61"/>
      <c r="D66" s="61"/>
      <c r="E66" s="62">
        <f>SUMIF(Q50:Q65, 4, F50:F65)</f>
        <v>0</v>
      </c>
      <c r="F66" s="62"/>
      <c r="G66" s="62">
        <f>SUMIF(Q50:Q65, 4, H50:H65)</f>
        <v>0</v>
      </c>
      <c r="H66" s="61"/>
    </row>
    <row r="67" spans="1:17" ht="14.25" hidden="1" customHeight="1" x14ac:dyDescent="0.25">
      <c r="A67" s="61" t="s">
        <v>418</v>
      </c>
      <c r="B67" s="61"/>
      <c r="C67" s="61"/>
      <c r="D67" s="61"/>
      <c r="E67" s="62">
        <f>SUMIF(Q50:Q66, 5, F50:F66)</f>
        <v>0</v>
      </c>
      <c r="F67" s="62"/>
      <c r="G67" s="62">
        <f>SUMIF(Q50:Q66, 5, H50:H66)</f>
        <v>0</v>
      </c>
      <c r="H67" s="61"/>
    </row>
    <row r="68" spans="1:17" ht="14.25" hidden="1" customHeight="1" x14ac:dyDescent="0.25">
      <c r="A68" s="61" t="s">
        <v>419</v>
      </c>
      <c r="B68" s="61"/>
      <c r="C68" s="61"/>
      <c r="D68" s="61"/>
      <c r="E68" s="62">
        <f>SUMIF(Q50:Q67, 6, F50:F67)</f>
        <v>0</v>
      </c>
      <c r="F68" s="62"/>
      <c r="G68" s="62">
        <f>SUMIF(Q50:Q67, 6, H50:H67)</f>
        <v>0</v>
      </c>
      <c r="H68" s="61"/>
    </row>
    <row r="70" spans="1:17" ht="16.5" x14ac:dyDescent="0.2">
      <c r="A70" s="66" t="str">
        <f>CONCATENATE("Раздел: ",IF(Source!G302&lt;&gt;"Новый раздел", Source!G302, ""))</f>
        <v>Раздел: Устройство резинового покрытия на детских площадках - 1099м2</v>
      </c>
      <c r="B70" s="67"/>
      <c r="C70" s="67"/>
      <c r="D70" s="67"/>
      <c r="E70" s="67"/>
      <c r="F70" s="67"/>
      <c r="G70" s="67"/>
      <c r="H70" s="67"/>
    </row>
    <row r="71" spans="1:17" ht="14.25" x14ac:dyDescent="0.2">
      <c r="A71" s="68" t="s">
        <v>415</v>
      </c>
      <c r="B71" s="69"/>
      <c r="C71" s="69"/>
      <c r="D71" s="69"/>
      <c r="E71" s="69"/>
      <c r="F71" s="69"/>
      <c r="G71" s="69"/>
      <c r="H71" s="69"/>
    </row>
    <row r="72" spans="1:17" ht="14.25" x14ac:dyDescent="0.2">
      <c r="A72" s="42" t="s">
        <v>247</v>
      </c>
      <c r="B72" s="35" t="s">
        <v>249</v>
      </c>
      <c r="C72" s="35" t="s">
        <v>115</v>
      </c>
      <c r="D72" s="36">
        <f>ROUND(SUMIF(RV_DATA!Q53:'RV_DATA'!Q66, -1404278575, RV_DATA!I53:'RV_DATA'!I66), 6)</f>
        <v>120.89</v>
      </c>
      <c r="E72" s="43">
        <f>ROUND(SmtRes!AE177, 6)</f>
        <v>559.23</v>
      </c>
      <c r="F72" s="43">
        <f>ROUND(SUMIF(RV_DATA!Q53:'RV_DATA'!Q66, -1404278575, RV_DATA!L53:'RV_DATA'!L66), 6)</f>
        <v>67605.31</v>
      </c>
      <c r="G72" s="43">
        <f>ROUND(SmtRes!AA177, 6)</f>
        <v>559.23</v>
      </c>
      <c r="H72" s="43">
        <v>67605.31</v>
      </c>
      <c r="Q72">
        <v>3</v>
      </c>
    </row>
    <row r="73" spans="1:17" ht="42.75" x14ac:dyDescent="0.2">
      <c r="A73" s="42" t="s">
        <v>262</v>
      </c>
      <c r="B73" s="35" t="s">
        <v>264</v>
      </c>
      <c r="C73" s="35" t="s">
        <v>115</v>
      </c>
      <c r="D73" s="36">
        <f>ROUND(SUMIF(RV_DATA!Q53:'RV_DATA'!Q66, -2076826296, RV_DATA!I53:'RV_DATA'!I66), 6)</f>
        <v>138.47399999999999</v>
      </c>
      <c r="E73" s="43">
        <f>ROUND(SmtRes!AE186, 6)</f>
        <v>1910.98</v>
      </c>
      <c r="F73" s="43">
        <f>ROUND(SUMIF(RV_DATA!Q53:'RV_DATA'!Q66, -2076826296, RV_DATA!L53:'RV_DATA'!L66), 6)</f>
        <v>264621.03999999998</v>
      </c>
      <c r="G73" s="43">
        <f>ROUND(SmtRes!AA186, 6)</f>
        <v>1910.98</v>
      </c>
      <c r="H73" s="43">
        <v>264621.03999999998</v>
      </c>
      <c r="Q73">
        <v>3</v>
      </c>
    </row>
    <row r="74" spans="1:17" ht="14.25" x14ac:dyDescent="0.2">
      <c r="A74" s="42" t="s">
        <v>250</v>
      </c>
      <c r="B74" s="35" t="s">
        <v>252</v>
      </c>
      <c r="C74" s="35" t="s">
        <v>115</v>
      </c>
      <c r="D74" s="36">
        <f>ROUND(SUMIF(RV_DATA!Q53:'RV_DATA'!Q66, -101232329, RV_DATA!I53:'RV_DATA'!I66), 6)</f>
        <v>13.188000000000001</v>
      </c>
      <c r="E74" s="43">
        <f>ROUND(SmtRes!AE178, 6)</f>
        <v>28.77</v>
      </c>
      <c r="F74" s="43">
        <f>ROUND(SUMIF(RV_DATA!Q53:'RV_DATA'!Q66, -101232329, RV_DATA!L53:'RV_DATA'!L66), 6)</f>
        <v>379.42</v>
      </c>
      <c r="G74" s="43">
        <f>ROUND(SmtRes!AA178, 6)</f>
        <v>28.77</v>
      </c>
      <c r="H74" s="43">
        <v>379.42</v>
      </c>
      <c r="Q74">
        <v>3</v>
      </c>
    </row>
    <row r="75" spans="1:17" ht="28.5" x14ac:dyDescent="0.2">
      <c r="A75" s="42" t="s">
        <v>321</v>
      </c>
      <c r="B75" s="35" t="s">
        <v>323</v>
      </c>
      <c r="C75" s="35" t="s">
        <v>176</v>
      </c>
      <c r="D75" s="36">
        <f>ROUND(SUMIF(RV_DATA!Q53:'RV_DATA'!Q66, 527232982, RV_DATA!I53:'RV_DATA'!I66), 6)</f>
        <v>61.543999999999997</v>
      </c>
      <c r="E75" s="43">
        <f>ROUND(SmtRes!AE197, 6)</f>
        <v>12.61</v>
      </c>
      <c r="F75" s="43">
        <f>ROUND(SUMIF(RV_DATA!Q53:'RV_DATA'!Q66, 527232982, RV_DATA!L53:'RV_DATA'!L66), 6)</f>
        <v>776.07</v>
      </c>
      <c r="G75" s="43">
        <f>ROUND(SmtRes!AA197, 6)</f>
        <v>12.61</v>
      </c>
      <c r="H75" s="43">
        <v>776.07</v>
      </c>
      <c r="Q75">
        <v>3</v>
      </c>
    </row>
    <row r="76" spans="1:17" ht="14.25" x14ac:dyDescent="0.2">
      <c r="A76" s="42" t="s">
        <v>324</v>
      </c>
      <c r="B76" s="35" t="s">
        <v>326</v>
      </c>
      <c r="C76" s="35" t="s">
        <v>29</v>
      </c>
      <c r="D76" s="36">
        <f>ROUND(SUMIF(RV_DATA!Q53:'RV_DATA'!Q66, 1343091473, RV_DATA!I53:'RV_DATA'!I66), 6)</f>
        <v>3.4618999999999997E-2</v>
      </c>
      <c r="E76" s="43">
        <f>ROUND(SmtRes!AE198, 6)</f>
        <v>100975.39</v>
      </c>
      <c r="F76" s="43">
        <f>ROUND(SUMIF(RV_DATA!Q53:'RV_DATA'!Q66, 1343091473, RV_DATA!L53:'RV_DATA'!L66), 6)</f>
        <v>3495.62</v>
      </c>
      <c r="G76" s="43">
        <f>ROUND(SmtRes!AA198, 6)</f>
        <v>100975.39</v>
      </c>
      <c r="H76" s="43">
        <v>3495.62</v>
      </c>
      <c r="Q76">
        <v>3</v>
      </c>
    </row>
    <row r="77" spans="1:17" ht="28.5" x14ac:dyDescent="0.2">
      <c r="A77" s="42" t="s">
        <v>327</v>
      </c>
      <c r="B77" s="35" t="s">
        <v>329</v>
      </c>
      <c r="C77" s="35" t="s">
        <v>330</v>
      </c>
      <c r="D77" s="36">
        <f>ROUND(SUMIF(RV_DATA!Q53:'RV_DATA'!Q66, 64334613, RV_DATA!I53:'RV_DATA'!I66), 6)</f>
        <v>9693.18</v>
      </c>
      <c r="E77" s="43">
        <f>ROUND(SmtRes!AE199, 6)</f>
        <v>20.03</v>
      </c>
      <c r="F77" s="43">
        <f>ROUND(SUMIF(RV_DATA!Q53:'RV_DATA'!Q66, 64334613, RV_DATA!L53:'RV_DATA'!L66), 6)</f>
        <v>194154.4</v>
      </c>
      <c r="G77" s="43">
        <f>ROUND(SmtRes!AA199, 6)</f>
        <v>20.03</v>
      </c>
      <c r="H77" s="43">
        <v>194154.4</v>
      </c>
      <c r="Q77">
        <v>3</v>
      </c>
    </row>
    <row r="78" spans="1:17" ht="57" x14ac:dyDescent="0.2">
      <c r="A78" s="42" t="s">
        <v>331</v>
      </c>
      <c r="B78" s="35" t="s">
        <v>333</v>
      </c>
      <c r="C78" s="35" t="s">
        <v>330</v>
      </c>
      <c r="D78" s="36">
        <f>ROUND(SUMIF(RV_DATA!Q53:'RV_DATA'!Q66, 1499598369, RV_DATA!I53:'RV_DATA'!I66), 6)</f>
        <v>3115.665</v>
      </c>
      <c r="E78" s="43">
        <v>134.75</v>
      </c>
      <c r="F78" s="43">
        <f>D78*E78</f>
        <v>419835.85875000001</v>
      </c>
      <c r="G78" s="43">
        <f>E78</f>
        <v>134.75</v>
      </c>
      <c r="H78" s="43">
        <v>419835.85875000001</v>
      </c>
      <c r="Q78">
        <v>3</v>
      </c>
    </row>
    <row r="79" spans="1:17" ht="28.5" x14ac:dyDescent="0.2">
      <c r="A79" s="42" t="s">
        <v>334</v>
      </c>
      <c r="B79" s="35" t="s">
        <v>336</v>
      </c>
      <c r="C79" s="35" t="s">
        <v>29</v>
      </c>
      <c r="D79" s="36">
        <f>ROUND(SUMIF(RV_DATA!Q53:'RV_DATA'!Q66, -134482857, RV_DATA!I53:'RV_DATA'!I66), 6)</f>
        <v>0.69237000000000004</v>
      </c>
      <c r="E79" s="43">
        <f>ROUND(SmtRes!AE201, 6)</f>
        <v>360260.32</v>
      </c>
      <c r="F79" s="43">
        <f>ROUND(SUMIF(RV_DATA!Q53:'RV_DATA'!Q66, -134482857, RV_DATA!L53:'RV_DATA'!L66), 6)</f>
        <v>249433.44</v>
      </c>
      <c r="G79" s="43">
        <f>ROUND(SmtRes!AA201, 6)</f>
        <v>360260.32</v>
      </c>
      <c r="H79" s="43">
        <v>249433.44</v>
      </c>
      <c r="Q79">
        <v>3</v>
      </c>
    </row>
    <row r="80" spans="1:17" ht="28.5" x14ac:dyDescent="0.2">
      <c r="A80" s="42" t="s">
        <v>340</v>
      </c>
      <c r="B80" s="35" t="s">
        <v>342</v>
      </c>
      <c r="C80" s="35" t="s">
        <v>29</v>
      </c>
      <c r="D80" s="36">
        <f>ROUND(SUMIF(RV_DATA!Q53:'RV_DATA'!Q66, 2070703896, RV_DATA!I53:'RV_DATA'!I66), 6)</f>
        <v>8.2680000000000003E-2</v>
      </c>
      <c r="E80" s="43">
        <f>ROUND(SmtRes!AE210, 6)</f>
        <v>84127.039999999994</v>
      </c>
      <c r="F80" s="43">
        <f>ROUND(SUMIF(RV_DATA!Q53:'RV_DATA'!Q66, 2070703896, RV_DATA!L53:'RV_DATA'!L66), 6)</f>
        <v>6955.62</v>
      </c>
      <c r="G80" s="43">
        <f>ROUND(SmtRes!AA210, 6)</f>
        <v>84127.039999999994</v>
      </c>
      <c r="H80" s="43">
        <v>6955.62</v>
      </c>
      <c r="Q80">
        <v>3</v>
      </c>
    </row>
    <row r="81" spans="1:17" ht="42.75" x14ac:dyDescent="0.2">
      <c r="A81" s="42" t="s">
        <v>271</v>
      </c>
      <c r="B81" s="35" t="s">
        <v>273</v>
      </c>
      <c r="C81" s="35" t="s">
        <v>29</v>
      </c>
      <c r="D81" s="36">
        <f>ROUND(SUMIF(RV_DATA!Q53:'RV_DATA'!Q66, 188851784, RV_DATA!I53:'RV_DATA'!I66), 6)</f>
        <v>131.60525000000001</v>
      </c>
      <c r="E81" s="43">
        <f>ROUND(SmtRes!AE191, 6)</f>
        <v>2314.4499999999998</v>
      </c>
      <c r="F81" s="43">
        <f>ROUND(SUMIF(RV_DATA!Q53:'RV_DATA'!Q66, 188851784, RV_DATA!L53:'RV_DATA'!L66), 6)</f>
        <v>304593.77</v>
      </c>
      <c r="G81" s="43">
        <f>ROUND(SmtRes!AA191, 6)</f>
        <v>2314.4499999999998</v>
      </c>
      <c r="H81" s="43">
        <v>304593.77</v>
      </c>
      <c r="J81" s="23"/>
      <c r="Q81">
        <v>3</v>
      </c>
    </row>
    <row r="82" spans="1:17" ht="15" x14ac:dyDescent="0.25">
      <c r="A82" s="61" t="s">
        <v>416</v>
      </c>
      <c r="B82" s="61"/>
      <c r="C82" s="61"/>
      <c r="D82" s="61"/>
      <c r="E82" s="62">
        <f>SUMIF(Q72:Q81, 3, F72:F81)</f>
        <v>1511850.5487500001</v>
      </c>
      <c r="F82" s="62"/>
      <c r="G82" s="62">
        <f>SUMIF(Q72:Q81, 3, H72:H81)</f>
        <v>1511850.5487500001</v>
      </c>
      <c r="H82" s="61"/>
    </row>
    <row r="84" spans="1:17" ht="16.5" x14ac:dyDescent="0.2">
      <c r="A84" s="63" t="str">
        <f>CONCATENATE("Итого по разделу: ",IF(Source!G314&lt;&gt;"Новый раздел", Source!G314, ""))</f>
        <v>Итого по разделу: Устройство резинового покрытия на детских площадках - 1099м2</v>
      </c>
      <c r="B84" s="64"/>
      <c r="C84" s="64"/>
      <c r="D84" s="64"/>
      <c r="E84" s="64"/>
      <c r="F84" s="64"/>
      <c r="G84" s="64"/>
      <c r="H84" s="65"/>
    </row>
    <row r="85" spans="1:17" ht="15" x14ac:dyDescent="0.25">
      <c r="A85" s="61" t="s">
        <v>416</v>
      </c>
      <c r="B85" s="61"/>
      <c r="C85" s="61"/>
      <c r="D85" s="61"/>
      <c r="E85" s="62">
        <f>SUMIF(Q70:Q84, 3, F70:F84)</f>
        <v>1511850.5487500001</v>
      </c>
      <c r="F85" s="62"/>
      <c r="G85" s="62">
        <f>SUMIF(Q70:Q84, 3, H70:H84)</f>
        <v>1511850.5487500001</v>
      </c>
      <c r="H85" s="61"/>
    </row>
    <row r="86" spans="1:17" ht="14.25" hidden="1" customHeight="1" x14ac:dyDescent="0.25">
      <c r="A86" s="61" t="s">
        <v>417</v>
      </c>
      <c r="B86" s="61"/>
      <c r="C86" s="61"/>
      <c r="D86" s="61"/>
      <c r="E86" s="62">
        <f>SUMIF(Q70:Q85, 4, F70:F85)</f>
        <v>0</v>
      </c>
      <c r="F86" s="62"/>
      <c r="G86" s="62">
        <f>SUMIF(Q70:Q85, 4, H70:H85)</f>
        <v>0</v>
      </c>
      <c r="H86" s="61"/>
    </row>
    <row r="87" spans="1:17" ht="14.25" hidden="1" customHeight="1" x14ac:dyDescent="0.25">
      <c r="A87" s="61" t="s">
        <v>418</v>
      </c>
      <c r="B87" s="61"/>
      <c r="C87" s="61"/>
      <c r="D87" s="61"/>
      <c r="E87" s="62">
        <f>SUMIF(Q70:Q86, 5, F70:F86)</f>
        <v>0</v>
      </c>
      <c r="F87" s="62"/>
      <c r="G87" s="62">
        <f>SUMIF(Q70:Q86, 5, H70:H86)</f>
        <v>0</v>
      </c>
      <c r="H87" s="61"/>
    </row>
    <row r="88" spans="1:17" ht="14.25" hidden="1" customHeight="1" x14ac:dyDescent="0.25">
      <c r="A88" s="61" t="s">
        <v>419</v>
      </c>
      <c r="B88" s="61"/>
      <c r="C88" s="61"/>
      <c r="D88" s="61"/>
      <c r="E88" s="62">
        <f>SUMIF(Q70:Q87, 6, F70:F87)</f>
        <v>0</v>
      </c>
      <c r="F88" s="62"/>
      <c r="G88" s="62">
        <f>SUMIF(Q70:Q87, 6, H70:H87)</f>
        <v>0</v>
      </c>
      <c r="H88" s="61"/>
    </row>
    <row r="90" spans="1:17" ht="16.5" x14ac:dyDescent="0.2">
      <c r="A90" s="66" t="str">
        <f>CONCATENATE("Раздел: ",IF(Source!G345&lt;&gt;"Новый раздел", Source!G345, ""))</f>
        <v>Раздел: Устройство прыжковой ямы и полиуретановой дорожки</v>
      </c>
      <c r="B90" s="67"/>
      <c r="C90" s="67"/>
      <c r="D90" s="67"/>
      <c r="E90" s="67"/>
      <c r="F90" s="67"/>
      <c r="G90" s="67"/>
      <c r="H90" s="67"/>
    </row>
    <row r="91" spans="1:17" ht="14.25" x14ac:dyDescent="0.2">
      <c r="A91" s="68" t="s">
        <v>415</v>
      </c>
      <c r="B91" s="69"/>
      <c r="C91" s="69"/>
      <c r="D91" s="69"/>
      <c r="E91" s="69"/>
      <c r="F91" s="69"/>
      <c r="G91" s="69"/>
      <c r="H91" s="69"/>
    </row>
    <row r="92" spans="1:17" ht="14.25" x14ac:dyDescent="0.2">
      <c r="A92" s="42" t="s">
        <v>247</v>
      </c>
      <c r="B92" s="35" t="s">
        <v>249</v>
      </c>
      <c r="C92" s="35" t="s">
        <v>115</v>
      </c>
      <c r="D92" s="36">
        <f>ROUND(SUMIF(RV_DATA!Q68:'RV_DATA'!Q82, -1404278575, RV_DATA!I68:'RV_DATA'!I82), 6)</f>
        <v>4.4000000000000004</v>
      </c>
      <c r="E92" s="43">
        <f>ROUND(SmtRes!AE222, 6)</f>
        <v>559.23</v>
      </c>
      <c r="F92" s="43">
        <f>ROUND(SUMIF(RV_DATA!Q68:'RV_DATA'!Q82, -1404278575, RV_DATA!L68:'RV_DATA'!L82), 6)</f>
        <v>2460.61</v>
      </c>
      <c r="G92" s="43">
        <f>ROUND(SmtRes!AA222, 6)</f>
        <v>559.23</v>
      </c>
      <c r="H92" s="43">
        <f>ROUND(SUMIF(RV_DATA!Q68:'RV_DATA'!Q82, -1404278575, RV_DATA!N68:'RV_DATA'!N82), 6)</f>
        <v>2460.61</v>
      </c>
      <c r="Q92">
        <v>3</v>
      </c>
    </row>
    <row r="93" spans="1:17" ht="42.75" x14ac:dyDescent="0.2">
      <c r="A93" s="42" t="s">
        <v>262</v>
      </c>
      <c r="B93" s="35" t="s">
        <v>264</v>
      </c>
      <c r="C93" s="35" t="s">
        <v>115</v>
      </c>
      <c r="D93" s="36">
        <f>ROUND(SUMIF(RV_DATA!Q68:'RV_DATA'!Q82, -2076826296, RV_DATA!I68:'RV_DATA'!I82), 6)</f>
        <v>1.008</v>
      </c>
      <c r="E93" s="43">
        <f>ROUND(SmtRes!AE231, 6)</f>
        <v>1910.98</v>
      </c>
      <c r="F93" s="43">
        <f>ROUND(SUMIF(RV_DATA!Q68:'RV_DATA'!Q82, -2076826296, RV_DATA!L68:'RV_DATA'!L82), 6)</f>
        <v>1926.27</v>
      </c>
      <c r="G93" s="43">
        <f>ROUND(SmtRes!AA231, 6)</f>
        <v>1910.98</v>
      </c>
      <c r="H93" s="43">
        <f>ROUND(SUMIF(RV_DATA!Q68:'RV_DATA'!Q82, -2076826296, RV_DATA!N68:'RV_DATA'!N82), 6)</f>
        <v>1926.27</v>
      </c>
      <c r="Q93">
        <v>3</v>
      </c>
    </row>
    <row r="94" spans="1:17" ht="14.25" x14ac:dyDescent="0.2">
      <c r="A94" s="42" t="s">
        <v>250</v>
      </c>
      <c r="B94" s="35" t="s">
        <v>252</v>
      </c>
      <c r="C94" s="35" t="s">
        <v>115</v>
      </c>
      <c r="D94" s="36">
        <f>ROUND(SUMIF(RV_DATA!Q68:'RV_DATA'!Q82, -101232329, RV_DATA!I68:'RV_DATA'!I82), 6)</f>
        <v>0.25600000000000001</v>
      </c>
      <c r="E94" s="43">
        <f>ROUND(SmtRes!AE223, 6)</f>
        <v>28.77</v>
      </c>
      <c r="F94" s="43">
        <v>7.35</v>
      </c>
      <c r="G94" s="43">
        <f>ROUND(SmtRes!AA223, 6)</f>
        <v>28.77</v>
      </c>
      <c r="H94" s="43">
        <v>7.35</v>
      </c>
      <c r="Q94">
        <v>3</v>
      </c>
    </row>
    <row r="95" spans="1:17" ht="28.5" x14ac:dyDescent="0.2">
      <c r="A95" s="42" t="s">
        <v>321</v>
      </c>
      <c r="B95" s="35" t="s">
        <v>323</v>
      </c>
      <c r="C95" s="35" t="s">
        <v>176</v>
      </c>
      <c r="D95" s="36">
        <f>ROUND(SUMIF(RV_DATA!Q68:'RV_DATA'!Q82, 527232982, RV_DATA!I68:'RV_DATA'!I82), 6)</f>
        <v>0.44800000000000001</v>
      </c>
      <c r="E95" s="43">
        <f>ROUND(SmtRes!AE242, 6)</f>
        <v>12.61</v>
      </c>
      <c r="F95" s="43">
        <f>ROUND(SUMIF(RV_DATA!Q68:'RV_DATA'!Q82, 527232982, RV_DATA!L68:'RV_DATA'!L82), 6)</f>
        <v>5.65</v>
      </c>
      <c r="G95" s="43">
        <f>ROUND(SmtRes!AA242, 6)</f>
        <v>12.61</v>
      </c>
      <c r="H95" s="43">
        <f>ROUND(SUMIF(RV_DATA!Q68:'RV_DATA'!Q82, 527232982, RV_DATA!N68:'RV_DATA'!N82), 6)</f>
        <v>5.65</v>
      </c>
      <c r="Q95">
        <v>3</v>
      </c>
    </row>
    <row r="96" spans="1:17" ht="14.25" x14ac:dyDescent="0.2">
      <c r="A96" s="42" t="s">
        <v>324</v>
      </c>
      <c r="B96" s="35" t="s">
        <v>326</v>
      </c>
      <c r="C96" s="35" t="s">
        <v>29</v>
      </c>
      <c r="D96" s="36">
        <f>ROUND(SUMIF(RV_DATA!Q68:'RV_DATA'!Q82, 1343091473, RV_DATA!I68:'RV_DATA'!I82), 6)</f>
        <v>2.52E-4</v>
      </c>
      <c r="E96" s="43">
        <f>ROUND(SmtRes!AE243, 6)</f>
        <v>100975.39</v>
      </c>
      <c r="F96" s="43">
        <v>25.44</v>
      </c>
      <c r="G96" s="43">
        <f>ROUND(SmtRes!AA243, 6)</f>
        <v>100975.39</v>
      </c>
      <c r="H96" s="43">
        <v>25.44</v>
      </c>
      <c r="Q96">
        <v>3</v>
      </c>
    </row>
    <row r="97" spans="1:17" ht="28.5" x14ac:dyDescent="0.2">
      <c r="A97" s="42" t="s">
        <v>327</v>
      </c>
      <c r="B97" s="35" t="s">
        <v>329</v>
      </c>
      <c r="C97" s="35" t="s">
        <v>330</v>
      </c>
      <c r="D97" s="36">
        <f>ROUND(SUMIF(RV_DATA!Q68:'RV_DATA'!Q82, 64334613, RV_DATA!I68:'RV_DATA'!I82), 6)</f>
        <v>70.56</v>
      </c>
      <c r="E97" s="43">
        <f>ROUND(SmtRes!AE244, 6)</f>
        <v>20.03</v>
      </c>
      <c r="F97" s="43">
        <f>ROUND(SUMIF(RV_DATA!Q68:'RV_DATA'!Q82, 64334613, RV_DATA!L68:'RV_DATA'!L82), 6)</f>
        <v>1413.31</v>
      </c>
      <c r="G97" s="43">
        <f>ROUND(SmtRes!AA244, 6)</f>
        <v>20.03</v>
      </c>
      <c r="H97" s="43">
        <f>ROUND(SUMIF(RV_DATA!Q68:'RV_DATA'!Q82, 64334613, RV_DATA!N68:'RV_DATA'!N82), 6)</f>
        <v>1413.31</v>
      </c>
      <c r="Q97">
        <v>3</v>
      </c>
    </row>
    <row r="98" spans="1:17" ht="57" x14ac:dyDescent="0.2">
      <c r="A98" s="42" t="s">
        <v>331</v>
      </c>
      <c r="B98" s="35" t="s">
        <v>333</v>
      </c>
      <c r="C98" s="35" t="s">
        <v>330</v>
      </c>
      <c r="D98" s="36">
        <f>ROUND(SUMIF(RV_DATA!Q68:'RV_DATA'!Q82, 1499598369, RV_DATA!I68:'RV_DATA'!I82), 6)</f>
        <v>22.68</v>
      </c>
      <c r="E98" s="43">
        <f>ROUND(SmtRes!AE245, 6)</f>
        <v>175.18</v>
      </c>
      <c r="F98" s="43">
        <f>ROUND(SUMIF(RV_DATA!Q68:'RV_DATA'!Q82, 1499598369, RV_DATA!L68:'RV_DATA'!L82), 6)</f>
        <v>3973.08</v>
      </c>
      <c r="G98" s="43">
        <f>ROUND(SmtRes!AA245, 6)</f>
        <v>175.18</v>
      </c>
      <c r="H98" s="43">
        <f>ROUND(SUMIF(RV_DATA!Q68:'RV_DATA'!Q82, 1499598369, RV_DATA!N68:'RV_DATA'!N82), 6)</f>
        <v>3973.08</v>
      </c>
      <c r="Q98">
        <v>3</v>
      </c>
    </row>
    <row r="99" spans="1:17" ht="28.5" x14ac:dyDescent="0.2">
      <c r="A99" s="42" t="s">
        <v>334</v>
      </c>
      <c r="B99" s="35" t="s">
        <v>336</v>
      </c>
      <c r="C99" s="35" t="s">
        <v>29</v>
      </c>
      <c r="D99" s="36">
        <f>ROUND(SUMIF(RV_DATA!Q68:'RV_DATA'!Q82, -134482857, RV_DATA!I68:'RV_DATA'!I82), 6)</f>
        <v>5.0400000000000002E-3</v>
      </c>
      <c r="E99" s="43">
        <f>ROUND(SmtRes!AE246, 6)</f>
        <v>360260.32</v>
      </c>
      <c r="F99" s="43">
        <f>ROUND(SUMIF(RV_DATA!Q68:'RV_DATA'!Q82, -134482857, RV_DATA!L68:'RV_DATA'!L82), 6)</f>
        <v>1815.71</v>
      </c>
      <c r="G99" s="43">
        <f>ROUND(SmtRes!AA246, 6)</f>
        <v>360260.32</v>
      </c>
      <c r="H99" s="43">
        <f>ROUND(SUMIF(RV_DATA!Q68:'RV_DATA'!Q82, -134482857, RV_DATA!N68:'RV_DATA'!N82), 6)</f>
        <v>1815.71</v>
      </c>
      <c r="Q99">
        <v>3</v>
      </c>
    </row>
    <row r="100" spans="1:17" ht="42.75" x14ac:dyDescent="0.2">
      <c r="A100" s="42" t="s">
        <v>271</v>
      </c>
      <c r="B100" s="35" t="s">
        <v>273</v>
      </c>
      <c r="C100" s="35" t="s">
        <v>29</v>
      </c>
      <c r="D100" s="36">
        <f>ROUND(SUMIF(RV_DATA!Q68:'RV_DATA'!Q82, 188851784, RV_DATA!I68:'RV_DATA'!I82), 6)</f>
        <v>0.95799999999999996</v>
      </c>
      <c r="E100" s="43">
        <f>ROUND(SmtRes!AE236, 6)</f>
        <v>2314.4499999999998</v>
      </c>
      <c r="F100" s="43">
        <f>ROUND(SUMIF(RV_DATA!Q68:'RV_DATA'!Q82, 188851784, RV_DATA!L68:'RV_DATA'!L82), 6)</f>
        <v>2217.2399999999998</v>
      </c>
      <c r="G100" s="43">
        <f>ROUND(SmtRes!AA236, 6)</f>
        <v>2314.4499999999998</v>
      </c>
      <c r="H100" s="43">
        <f>ROUND(SUMIF(RV_DATA!Q68:'RV_DATA'!Q82, 188851784, RV_DATA!N68:'RV_DATA'!N82), 6)</f>
        <v>2217.2399999999998</v>
      </c>
      <c r="Q100">
        <v>3</v>
      </c>
    </row>
    <row r="101" spans="1:17" ht="15" x14ac:dyDescent="0.25">
      <c r="A101" s="61" t="s">
        <v>416</v>
      </c>
      <c r="B101" s="61"/>
      <c r="C101" s="61"/>
      <c r="D101" s="61"/>
      <c r="E101" s="62">
        <f>SUMIF(Q92:Q100, 3, F92:F100)</f>
        <v>13844.659999999998</v>
      </c>
      <c r="F101" s="62"/>
      <c r="G101" s="62">
        <f>SUMIF(Q92:Q100, 3, H92:H100)</f>
        <v>13844.659999999998</v>
      </c>
      <c r="H101" s="61"/>
    </row>
    <row r="103" spans="1:17" ht="16.5" x14ac:dyDescent="0.2">
      <c r="A103" s="63" t="str">
        <f>CONCATENATE("Итого по разделу: ",IF(Source!G358&lt;&gt;"Новый раздел", Source!G358, ""))</f>
        <v>Итого по разделу: Устройство прыжковой ямы и полиуретановой дорожки</v>
      </c>
      <c r="B103" s="64"/>
      <c r="C103" s="64"/>
      <c r="D103" s="64"/>
      <c r="E103" s="64"/>
      <c r="F103" s="64"/>
      <c r="G103" s="64"/>
      <c r="H103" s="65"/>
    </row>
    <row r="104" spans="1:17" ht="15" x14ac:dyDescent="0.25">
      <c r="A104" s="61" t="s">
        <v>416</v>
      </c>
      <c r="B104" s="61"/>
      <c r="C104" s="61"/>
      <c r="D104" s="61"/>
      <c r="E104" s="62">
        <f>SUMIF(Q90:Q103, 3, F90:F103)</f>
        <v>13844.659999999998</v>
      </c>
      <c r="F104" s="62"/>
      <c r="G104" s="62">
        <f>SUMIF(Q90:Q103, 3, H90:H103)</f>
        <v>13844.659999999998</v>
      </c>
      <c r="H104" s="61"/>
    </row>
    <row r="105" spans="1:17" ht="14.25" hidden="1" customHeight="1" x14ac:dyDescent="0.25">
      <c r="A105" s="61" t="s">
        <v>417</v>
      </c>
      <c r="B105" s="61"/>
      <c r="C105" s="61"/>
      <c r="D105" s="61"/>
      <c r="E105" s="62">
        <f>SUMIF(Q90:Q104, 4, F90:F104)</f>
        <v>0</v>
      </c>
      <c r="F105" s="62"/>
      <c r="G105" s="62">
        <f>SUMIF(Q90:Q104, 4, H90:H104)</f>
        <v>0</v>
      </c>
      <c r="H105" s="61"/>
    </row>
    <row r="106" spans="1:17" ht="14.25" hidden="1" customHeight="1" x14ac:dyDescent="0.25">
      <c r="A106" s="61" t="s">
        <v>418</v>
      </c>
      <c r="B106" s="61"/>
      <c r="C106" s="61"/>
      <c r="D106" s="61"/>
      <c r="E106" s="62">
        <f>SUMIF(Q90:Q105, 5, F90:F105)</f>
        <v>0</v>
      </c>
      <c r="F106" s="62"/>
      <c r="G106" s="62">
        <f>SUMIF(Q90:Q105, 5, H90:H105)</f>
        <v>0</v>
      </c>
      <c r="H106" s="61"/>
    </row>
    <row r="107" spans="1:17" ht="14.25" hidden="1" customHeight="1" x14ac:dyDescent="0.25">
      <c r="A107" s="61" t="s">
        <v>419</v>
      </c>
      <c r="B107" s="61"/>
      <c r="C107" s="61"/>
      <c r="D107" s="61"/>
      <c r="E107" s="62">
        <f>SUMIF(Q90:Q106, 6, F90:F106)</f>
        <v>0</v>
      </c>
      <c r="F107" s="62"/>
      <c r="G107" s="62">
        <f>SUMIF(Q90:Q106, 6, H90:H106)</f>
        <v>0</v>
      </c>
      <c r="H107" s="61"/>
    </row>
    <row r="110" spans="1:17" ht="16.5" x14ac:dyDescent="0.2">
      <c r="A110" s="63" t="str">
        <f>CONCATENATE("Итого по локальной смете:",IF(Source!G387&lt;&gt;"Новая локальная смета", Source!G387, ""))</f>
        <v>Итого по локальной смете:</v>
      </c>
      <c r="B110" s="64"/>
      <c r="C110" s="64"/>
      <c r="D110" s="64"/>
      <c r="E110" s="64"/>
      <c r="F110" s="64"/>
      <c r="G110" s="64"/>
      <c r="H110" s="65"/>
    </row>
    <row r="111" spans="1:17" ht="15" x14ac:dyDescent="0.25">
      <c r="A111" s="61" t="s">
        <v>421</v>
      </c>
      <c r="B111" s="61"/>
      <c r="C111" s="61"/>
      <c r="D111" s="61"/>
      <c r="E111" s="62">
        <f>SUMIF(Q1:Q110, 3, F1:F110)</f>
        <v>2420023.5437739999</v>
      </c>
      <c r="F111" s="62"/>
      <c r="G111" s="62">
        <f>SUMIF(Q1:Q110, 3, H1:H110)</f>
        <v>2420023.5437739999</v>
      </c>
      <c r="H111" s="61"/>
    </row>
    <row r="112" spans="1:17" ht="14.25" hidden="1" customHeight="1" x14ac:dyDescent="0.25">
      <c r="A112" s="61" t="s">
        <v>417</v>
      </c>
      <c r="B112" s="61"/>
      <c r="C112" s="61"/>
      <c r="D112" s="61"/>
      <c r="E112" s="62">
        <f>SUMIF(Q1:Q111, 4, F1:F111)</f>
        <v>0</v>
      </c>
      <c r="F112" s="62"/>
      <c r="G112" s="62">
        <f>SUMIF(Q1:Q111, 4, H1:H111)</f>
        <v>0</v>
      </c>
      <c r="H112" s="61"/>
    </row>
    <row r="113" spans="1:8" ht="14.25" hidden="1" customHeight="1" x14ac:dyDescent="0.25">
      <c r="A113" s="61" t="s">
        <v>418</v>
      </c>
      <c r="B113" s="61"/>
      <c r="C113" s="61"/>
      <c r="D113" s="61"/>
      <c r="E113" s="62">
        <f>SUMIF(Q1:Q112, 5, F1:F112)</f>
        <v>0</v>
      </c>
      <c r="F113" s="62"/>
      <c r="G113" s="62">
        <f>SUMIF(Q1:Q112, 5, H1:H112)</f>
        <v>0</v>
      </c>
      <c r="H113" s="61"/>
    </row>
    <row r="114" spans="1:8" ht="14.25" hidden="1" customHeight="1" x14ac:dyDescent="0.25">
      <c r="A114" s="61" t="s">
        <v>419</v>
      </c>
      <c r="B114" s="61"/>
      <c r="C114" s="61"/>
      <c r="D114" s="61"/>
      <c r="E114" s="62">
        <f>SUMIF(Q1:Q113, 6, F1:F113)</f>
        <v>0</v>
      </c>
      <c r="F114" s="62"/>
      <c r="G114" s="62">
        <f>SUMIF(Q1:Q113, 6, H1:H113)</f>
        <v>0</v>
      </c>
      <c r="H114" s="61"/>
    </row>
  </sheetData>
  <sortState ref="A92:H100">
    <sortCondition ref="A92"/>
  </sortState>
  <mergeCells count="115">
    <mergeCell ref="A8:H8"/>
    <mergeCell ref="A9:H9"/>
    <mergeCell ref="A10:H10"/>
    <mergeCell ref="A15:D15"/>
    <mergeCell ref="E15:F15"/>
    <mergeCell ref="G15:H15"/>
    <mergeCell ref="A2:H2"/>
    <mergeCell ref="A3:H3"/>
    <mergeCell ref="A4:A6"/>
    <mergeCell ref="B4:B6"/>
    <mergeCell ref="C4:C6"/>
    <mergeCell ref="D4:D6"/>
    <mergeCell ref="E4:F5"/>
    <mergeCell ref="G4:H5"/>
    <mergeCell ref="A24:H24"/>
    <mergeCell ref="A29:D29"/>
    <mergeCell ref="E29:F29"/>
    <mergeCell ref="G29:H29"/>
    <mergeCell ref="A30:H30"/>
    <mergeCell ref="A31:H31"/>
    <mergeCell ref="A16:H16"/>
    <mergeCell ref="A17:H17"/>
    <mergeCell ref="A22:D22"/>
    <mergeCell ref="E22:F22"/>
    <mergeCell ref="G22:H22"/>
    <mergeCell ref="A23:H23"/>
    <mergeCell ref="A42:D42"/>
    <mergeCell ref="E42:F42"/>
    <mergeCell ref="G42:H42"/>
    <mergeCell ref="A44:H44"/>
    <mergeCell ref="A45:D45"/>
    <mergeCell ref="E45:F45"/>
    <mergeCell ref="G45:H45"/>
    <mergeCell ref="A32:H32"/>
    <mergeCell ref="A36:D36"/>
    <mergeCell ref="E36:F36"/>
    <mergeCell ref="G36:H36"/>
    <mergeCell ref="A37:H37"/>
    <mergeCell ref="A38:H38"/>
    <mergeCell ref="A48:D48"/>
    <mergeCell ref="E48:F48"/>
    <mergeCell ref="G48:H48"/>
    <mergeCell ref="A50:H50"/>
    <mergeCell ref="A51:H51"/>
    <mergeCell ref="A62:D62"/>
    <mergeCell ref="E62:F62"/>
    <mergeCell ref="G62:H62"/>
    <mergeCell ref="A46:D46"/>
    <mergeCell ref="E46:F46"/>
    <mergeCell ref="G46:H46"/>
    <mergeCell ref="A47:D47"/>
    <mergeCell ref="E47:F47"/>
    <mergeCell ref="G47:H47"/>
    <mergeCell ref="A67:D67"/>
    <mergeCell ref="E67:F67"/>
    <mergeCell ref="G67:H67"/>
    <mergeCell ref="A68:D68"/>
    <mergeCell ref="E68:F68"/>
    <mergeCell ref="G68:H68"/>
    <mergeCell ref="A64:H64"/>
    <mergeCell ref="A65:D65"/>
    <mergeCell ref="E65:F65"/>
    <mergeCell ref="G65:H65"/>
    <mergeCell ref="A66:D66"/>
    <mergeCell ref="E66:F66"/>
    <mergeCell ref="G66:H66"/>
    <mergeCell ref="A85:D85"/>
    <mergeCell ref="E85:F85"/>
    <mergeCell ref="G85:H85"/>
    <mergeCell ref="A86:D86"/>
    <mergeCell ref="E86:F86"/>
    <mergeCell ref="G86:H86"/>
    <mergeCell ref="A70:H70"/>
    <mergeCell ref="A71:H71"/>
    <mergeCell ref="A82:D82"/>
    <mergeCell ref="E82:F82"/>
    <mergeCell ref="G82:H82"/>
    <mergeCell ref="A84:H84"/>
    <mergeCell ref="A90:H90"/>
    <mergeCell ref="A91:H91"/>
    <mergeCell ref="A101:D101"/>
    <mergeCell ref="E101:F101"/>
    <mergeCell ref="G101:H101"/>
    <mergeCell ref="A103:H103"/>
    <mergeCell ref="A87:D87"/>
    <mergeCell ref="E87:F87"/>
    <mergeCell ref="G87:H87"/>
    <mergeCell ref="A88:D88"/>
    <mergeCell ref="E88:F88"/>
    <mergeCell ref="G88:H88"/>
    <mergeCell ref="A106:D106"/>
    <mergeCell ref="E106:F106"/>
    <mergeCell ref="G106:H106"/>
    <mergeCell ref="A107:D107"/>
    <mergeCell ref="E107:F107"/>
    <mergeCell ref="G107:H107"/>
    <mergeCell ref="A104:D104"/>
    <mergeCell ref="E104:F104"/>
    <mergeCell ref="G104:H104"/>
    <mergeCell ref="A105:D105"/>
    <mergeCell ref="E105:F105"/>
    <mergeCell ref="G105:H105"/>
    <mergeCell ref="A113:D113"/>
    <mergeCell ref="E113:F113"/>
    <mergeCell ref="G113:H113"/>
    <mergeCell ref="A114:D114"/>
    <mergeCell ref="E114:F114"/>
    <mergeCell ref="G114:H114"/>
    <mergeCell ref="A110:H110"/>
    <mergeCell ref="A111:D111"/>
    <mergeCell ref="E111:F111"/>
    <mergeCell ref="G111:H111"/>
    <mergeCell ref="A112:D112"/>
    <mergeCell ref="E112:F112"/>
    <mergeCell ref="G112:H112"/>
  </mergeCells>
  <pageMargins left="0.6" right="0.4" top="0.65" bottom="0.4" header="0.4" footer="0.4"/>
  <pageSetup paperSize="9" scale="72" fitToHeight="0" orientation="portrait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456"/>
  <sheetViews>
    <sheetView topLeftCell="A223" workbookViewId="0">
      <selection activeCell="F202" sqref="F202"/>
    </sheetView>
  </sheetViews>
  <sheetFormatPr defaultColWidth="9.140625" defaultRowHeight="12.75" x14ac:dyDescent="0.2"/>
  <cols>
    <col min="1" max="5" width="9.140625" customWidth="1"/>
    <col min="6" max="6" width="12.85546875" customWidth="1"/>
    <col min="7" max="9" width="9.140625" customWidth="1"/>
    <col min="10" max="10" width="28.140625" customWidth="1"/>
    <col min="1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59050</v>
      </c>
      <c r="M1">
        <v>10</v>
      </c>
    </row>
    <row r="12" spans="1:133" x14ac:dyDescent="0.2">
      <c r="A12" s="1">
        <v>1</v>
      </c>
      <c r="B12" s="1">
        <v>452</v>
      </c>
      <c r="C12" s="1">
        <v>0</v>
      </c>
      <c r="D12" s="1">
        <f>ROW(A420)</f>
        <v>420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108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1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3</v>
      </c>
      <c r="CF12" s="1">
        <v>0</v>
      </c>
      <c r="CG12" s="1">
        <v>0</v>
      </c>
      <c r="CH12" s="1">
        <v>10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B420</f>
        <v>452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ул. Олений Вал, д. 22Б, ГБОУ №1860 (а/б) на аукцион</v>
      </c>
      <c r="H18" s="2"/>
      <c r="I18" s="2"/>
      <c r="J18" s="2"/>
      <c r="K18" s="2"/>
      <c r="L18" s="2"/>
      <c r="M18" s="2"/>
      <c r="N18" s="2"/>
      <c r="O18" s="2">
        <f t="shared" ref="O18:AT18" si="1">O420</f>
        <v>3099421</v>
      </c>
      <c r="P18" s="2">
        <f t="shared" si="1"/>
        <v>2420023.54</v>
      </c>
      <c r="Q18" s="2">
        <f t="shared" si="1"/>
        <v>478828.56</v>
      </c>
      <c r="R18" s="2">
        <f t="shared" si="1"/>
        <v>294937.12</v>
      </c>
      <c r="S18" s="2">
        <f t="shared" si="1"/>
        <v>200568.9</v>
      </c>
      <c r="T18" s="2">
        <f t="shared" si="1"/>
        <v>0</v>
      </c>
      <c r="U18" s="2">
        <f t="shared" si="1"/>
        <v>1150.568951</v>
      </c>
      <c r="V18" s="2">
        <f t="shared" si="1"/>
        <v>0</v>
      </c>
      <c r="W18" s="2">
        <f t="shared" si="1"/>
        <v>0</v>
      </c>
      <c r="X18" s="2">
        <f t="shared" si="1"/>
        <v>140581.29999999999</v>
      </c>
      <c r="Y18" s="2">
        <f t="shared" si="1"/>
        <v>20056.91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3370128.92</v>
      </c>
      <c r="AS18" s="2">
        <f t="shared" si="1"/>
        <v>0</v>
      </c>
      <c r="AT18" s="2">
        <f t="shared" si="1"/>
        <v>0</v>
      </c>
      <c r="AU18" s="2">
        <f t="shared" ref="AU18:BZ18" si="2">AU420</f>
        <v>3370128.92</v>
      </c>
      <c r="AV18" s="2">
        <f t="shared" si="2"/>
        <v>2420023.54</v>
      </c>
      <c r="AW18" s="2">
        <f t="shared" si="2"/>
        <v>2420023.54</v>
      </c>
      <c r="AX18" s="2">
        <f t="shared" si="2"/>
        <v>0</v>
      </c>
      <c r="AY18" s="2">
        <f t="shared" si="2"/>
        <v>2420023.54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CA420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DG420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EM420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FS420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ROW(A387)</f>
        <v>387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45" x14ac:dyDescent="0.2">
      <c r="A22" s="2">
        <v>52</v>
      </c>
      <c r="B22" s="2">
        <f t="shared" ref="B22:G22" si="7">B387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Новая локальная смета</v>
      </c>
      <c r="H22" s="2"/>
      <c r="I22" s="2"/>
      <c r="J22" s="2"/>
      <c r="K22" s="2"/>
      <c r="L22" s="2"/>
      <c r="M22" s="2"/>
      <c r="N22" s="2"/>
      <c r="O22" s="2">
        <f t="shared" ref="O22:AT22" si="8">O387</f>
        <v>3099421</v>
      </c>
      <c r="P22" s="2">
        <f t="shared" si="8"/>
        <v>2420023.54</v>
      </c>
      <c r="Q22" s="2">
        <f t="shared" si="8"/>
        <v>478828.56</v>
      </c>
      <c r="R22" s="2">
        <f t="shared" si="8"/>
        <v>294937.12</v>
      </c>
      <c r="S22" s="2">
        <f t="shared" si="8"/>
        <v>200568.9</v>
      </c>
      <c r="T22" s="2">
        <f t="shared" si="8"/>
        <v>0</v>
      </c>
      <c r="U22" s="2">
        <f t="shared" si="8"/>
        <v>1150.568951</v>
      </c>
      <c r="V22" s="2">
        <f t="shared" si="8"/>
        <v>0</v>
      </c>
      <c r="W22" s="2">
        <f t="shared" si="8"/>
        <v>0</v>
      </c>
      <c r="X22" s="2">
        <f t="shared" si="8"/>
        <v>140581.29999999999</v>
      </c>
      <c r="Y22" s="2">
        <f t="shared" si="8"/>
        <v>20056.91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3370128.92</v>
      </c>
      <c r="AS22" s="2">
        <f t="shared" si="8"/>
        <v>0</v>
      </c>
      <c r="AT22" s="2">
        <f t="shared" si="8"/>
        <v>0</v>
      </c>
      <c r="AU22" s="2">
        <f t="shared" ref="AU22:BZ22" si="9">AU387</f>
        <v>3370128.92</v>
      </c>
      <c r="AV22" s="2">
        <f t="shared" si="9"/>
        <v>2420023.54</v>
      </c>
      <c r="AW22" s="2">
        <f t="shared" si="9"/>
        <v>2420023.54</v>
      </c>
      <c r="AX22" s="2">
        <f t="shared" si="9"/>
        <v>0</v>
      </c>
      <c r="AY22" s="2">
        <f t="shared" si="9"/>
        <v>2420023.54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CA387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DG387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EM387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FS387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 s="1">
        <v>4</v>
      </c>
      <c r="B24" s="1">
        <v>1</v>
      </c>
      <c r="C24" s="1"/>
      <c r="D24" s="1">
        <f>ROW(A37)</f>
        <v>37</v>
      </c>
      <c r="E24" s="1"/>
      <c r="F24" s="1" t="s">
        <v>12</v>
      </c>
      <c r="G24" s="1" t="s">
        <v>13</v>
      </c>
      <c r="H24" s="1" t="s">
        <v>3</v>
      </c>
      <c r="I24" s="1">
        <v>0</v>
      </c>
      <c r="J24" s="1"/>
      <c r="K24" s="1">
        <v>0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">
      <c r="A26" s="2">
        <v>52</v>
      </c>
      <c r="B26" s="2">
        <f t="shared" ref="B26:G26" si="14">B37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Ремонт асфальтобетонного покрытия - 730м2</v>
      </c>
      <c r="H26" s="2"/>
      <c r="I26" s="2"/>
      <c r="J26" s="2"/>
      <c r="K26" s="2"/>
      <c r="L26" s="2"/>
      <c r="M26" s="2"/>
      <c r="N26" s="2"/>
      <c r="O26" s="2">
        <f t="shared" ref="O26:AT26" si="15">O37</f>
        <v>656925.22</v>
      </c>
      <c r="P26" s="2">
        <f t="shared" si="15"/>
        <v>423253.56</v>
      </c>
      <c r="Q26" s="2">
        <f t="shared" si="15"/>
        <v>198748.74</v>
      </c>
      <c r="R26" s="2">
        <f t="shared" si="15"/>
        <v>125997.86</v>
      </c>
      <c r="S26" s="2">
        <f t="shared" si="15"/>
        <v>34922.92</v>
      </c>
      <c r="T26" s="2">
        <f t="shared" si="15"/>
        <v>0</v>
      </c>
      <c r="U26" s="2">
        <f t="shared" si="15"/>
        <v>207.2105</v>
      </c>
      <c r="V26" s="2">
        <f t="shared" si="15"/>
        <v>0</v>
      </c>
      <c r="W26" s="2">
        <f t="shared" si="15"/>
        <v>0</v>
      </c>
      <c r="X26" s="2">
        <f t="shared" si="15"/>
        <v>24446.05</v>
      </c>
      <c r="Y26" s="2">
        <f t="shared" si="15"/>
        <v>3492.3</v>
      </c>
      <c r="Z26" s="2">
        <f t="shared" si="15"/>
        <v>0</v>
      </c>
      <c r="AA26" s="2">
        <f t="shared" si="15"/>
        <v>0</v>
      </c>
      <c r="AB26" s="2">
        <f t="shared" si="15"/>
        <v>656925.22</v>
      </c>
      <c r="AC26" s="2">
        <f t="shared" si="15"/>
        <v>423253.56</v>
      </c>
      <c r="AD26" s="2">
        <f t="shared" si="15"/>
        <v>198748.74</v>
      </c>
      <c r="AE26" s="2">
        <f t="shared" si="15"/>
        <v>125997.86</v>
      </c>
      <c r="AF26" s="2">
        <f t="shared" si="15"/>
        <v>34922.92</v>
      </c>
      <c r="AG26" s="2">
        <f t="shared" si="15"/>
        <v>0</v>
      </c>
      <c r="AH26" s="2">
        <f t="shared" si="15"/>
        <v>207.2105</v>
      </c>
      <c r="AI26" s="2">
        <f t="shared" si="15"/>
        <v>0</v>
      </c>
      <c r="AJ26" s="2">
        <f t="shared" si="15"/>
        <v>0</v>
      </c>
      <c r="AK26" s="2">
        <f t="shared" si="15"/>
        <v>24446.05</v>
      </c>
      <c r="AL26" s="2">
        <f t="shared" si="15"/>
        <v>3492.3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717346.27</v>
      </c>
      <c r="AS26" s="2">
        <f t="shared" si="15"/>
        <v>0</v>
      </c>
      <c r="AT26" s="2">
        <f t="shared" si="15"/>
        <v>0</v>
      </c>
      <c r="AU26" s="2">
        <f t="shared" ref="AU26:BZ26" si="16">AU37</f>
        <v>717346.27</v>
      </c>
      <c r="AV26" s="2">
        <f t="shared" si="16"/>
        <v>423253.56</v>
      </c>
      <c r="AW26" s="2">
        <f t="shared" si="16"/>
        <v>423253.56</v>
      </c>
      <c r="AX26" s="2">
        <f t="shared" si="16"/>
        <v>0</v>
      </c>
      <c r="AY26" s="2">
        <f t="shared" si="16"/>
        <v>423253.56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CA37</f>
        <v>717346.27</v>
      </c>
      <c r="CB26" s="2">
        <f t="shared" si="17"/>
        <v>0</v>
      </c>
      <c r="CC26" s="2">
        <f t="shared" si="17"/>
        <v>0</v>
      </c>
      <c r="CD26" s="2">
        <f t="shared" si="17"/>
        <v>717346.27</v>
      </c>
      <c r="CE26" s="2">
        <f t="shared" si="17"/>
        <v>423253.56</v>
      </c>
      <c r="CF26" s="2">
        <f t="shared" si="17"/>
        <v>423253.56</v>
      </c>
      <c r="CG26" s="2">
        <f t="shared" si="17"/>
        <v>0</v>
      </c>
      <c r="CH26" s="2">
        <f t="shared" si="17"/>
        <v>423253.56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DG37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EM37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FS37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">
      <c r="A28">
        <v>17</v>
      </c>
      <c r="B28">
        <v>1</v>
      </c>
      <c r="C28">
        <f>ROW(SmtRes!A4)</f>
        <v>4</v>
      </c>
      <c r="D28">
        <f>ROW(EtalonRes!A4)</f>
        <v>4</v>
      </c>
      <c r="E28" t="s">
        <v>14</v>
      </c>
      <c r="F28" t="s">
        <v>15</v>
      </c>
      <c r="G28" t="s">
        <v>16</v>
      </c>
      <c r="H28" t="s">
        <v>17</v>
      </c>
      <c r="I28">
        <f>ROUND(730*0.05/100,9)</f>
        <v>0.36499999999999999</v>
      </c>
      <c r="J28">
        <v>0</v>
      </c>
      <c r="O28">
        <f t="shared" ref="O28:O35" si="21">ROUND(CP28,2)</f>
        <v>17671.990000000002</v>
      </c>
      <c r="P28">
        <f t="shared" ref="P28:P35" si="22">ROUND(CQ28*I28,2)</f>
        <v>0</v>
      </c>
      <c r="Q28">
        <f t="shared" ref="Q28:Q35" si="23">ROUND(CR28*I28,2)</f>
        <v>8534</v>
      </c>
      <c r="R28">
        <f t="shared" ref="R28:R35" si="24">ROUND(CS28*I28,2)</f>
        <v>4517.2700000000004</v>
      </c>
      <c r="S28">
        <f t="shared" ref="S28:S35" si="25">ROUND(CT28*I28,2)</f>
        <v>9137.99</v>
      </c>
      <c r="T28">
        <f t="shared" ref="T28:T35" si="26">ROUND(CU28*I28,2)</f>
        <v>0</v>
      </c>
      <c r="U28">
        <f t="shared" ref="U28:U35" si="27">CV28*I28</f>
        <v>56.574999999999996</v>
      </c>
      <c r="V28">
        <f t="shared" ref="V28:V35" si="28">CW28*I28</f>
        <v>0</v>
      </c>
      <c r="W28">
        <f t="shared" ref="W28:W35" si="29">ROUND(CX28*I28,2)</f>
        <v>0</v>
      </c>
      <c r="X28">
        <f t="shared" ref="X28:Y35" si="30">ROUND(CY28,2)</f>
        <v>6396.59</v>
      </c>
      <c r="Y28">
        <f t="shared" si="30"/>
        <v>913.8</v>
      </c>
      <c r="AA28">
        <v>37598633</v>
      </c>
      <c r="AB28">
        <f t="shared" ref="AB28:AB35" si="31">ROUND((AC28+AD28+AF28),6)</f>
        <v>48416.43</v>
      </c>
      <c r="AC28">
        <f t="shared" ref="AC28:AC34" si="32">ROUND((ES28),6)</f>
        <v>0</v>
      </c>
      <c r="AD28">
        <f>ROUND((((ET28)-(EU28))+AE28),6)</f>
        <v>23380.83</v>
      </c>
      <c r="AE28">
        <f t="shared" ref="AE28:AF31" si="33">ROUND((EU28),6)</f>
        <v>12376.07</v>
      </c>
      <c r="AF28">
        <f t="shared" si="33"/>
        <v>25035.599999999999</v>
      </c>
      <c r="AG28">
        <f t="shared" ref="AG28:AG35" si="34">ROUND((AP28),6)</f>
        <v>0</v>
      </c>
      <c r="AH28">
        <f t="shared" ref="AH28:AI31" si="35">(EW28)</f>
        <v>155</v>
      </c>
      <c r="AI28">
        <f t="shared" si="35"/>
        <v>0</v>
      </c>
      <c r="AJ28">
        <f t="shared" ref="AJ28:AJ35" si="36">ROUND((AS28),6)</f>
        <v>0</v>
      </c>
      <c r="AK28">
        <v>48416.43</v>
      </c>
      <c r="AL28">
        <v>0</v>
      </c>
      <c r="AM28">
        <v>23380.83</v>
      </c>
      <c r="AN28">
        <v>12376.07</v>
      </c>
      <c r="AO28">
        <v>25035.599999999999</v>
      </c>
      <c r="AP28">
        <v>0</v>
      </c>
      <c r="AQ28">
        <v>155</v>
      </c>
      <c r="AR28">
        <v>0</v>
      </c>
      <c r="AS28">
        <v>0</v>
      </c>
      <c r="AT28">
        <v>70</v>
      </c>
      <c r="AU28">
        <v>10</v>
      </c>
      <c r="AV28">
        <v>1</v>
      </c>
      <c r="AW28">
        <v>1</v>
      </c>
      <c r="AZ28">
        <v>1</v>
      </c>
      <c r="BA28">
        <v>1</v>
      </c>
      <c r="BB28">
        <v>1</v>
      </c>
      <c r="BC28">
        <v>1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4</v>
      </c>
      <c r="BJ28" t="s">
        <v>18</v>
      </c>
      <c r="BM28">
        <v>0</v>
      </c>
      <c r="BN28">
        <v>0</v>
      </c>
      <c r="BO28" t="s">
        <v>3</v>
      </c>
      <c r="BP28">
        <v>0</v>
      </c>
      <c r="BQ28">
        <v>1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70</v>
      </c>
      <c r="CA28">
        <v>10</v>
      </c>
      <c r="CF28">
        <v>0</v>
      </c>
      <c r="CG28">
        <v>0</v>
      </c>
      <c r="CM28">
        <v>0</v>
      </c>
      <c r="CN28" t="s">
        <v>3</v>
      </c>
      <c r="CO28">
        <v>0</v>
      </c>
      <c r="CP28">
        <f t="shared" ref="CP28:CP35" si="37">(P28+Q28+S28)</f>
        <v>17671.989999999998</v>
      </c>
      <c r="CQ28">
        <f t="shared" ref="CQ28:CQ35" si="38">(AC28*BC28*AW28)</f>
        <v>0</v>
      </c>
      <c r="CR28">
        <f>((((ET28)*BB28-(EU28)*BS28)+AE28*BS28)*AV28)</f>
        <v>23380.83</v>
      </c>
      <c r="CS28">
        <f t="shared" ref="CS28:CS35" si="39">(AE28*BS28*AV28)</f>
        <v>12376.07</v>
      </c>
      <c r="CT28">
        <f t="shared" ref="CT28:CT35" si="40">(AF28*BA28*AV28)</f>
        <v>25035.599999999999</v>
      </c>
      <c r="CU28">
        <f t="shared" ref="CU28:CU35" si="41">AG28</f>
        <v>0</v>
      </c>
      <c r="CV28">
        <f t="shared" ref="CV28:CV35" si="42">(AH28*AV28)</f>
        <v>155</v>
      </c>
      <c r="CW28">
        <f t="shared" ref="CW28:CX35" si="43">AI28</f>
        <v>0</v>
      </c>
      <c r="CX28">
        <f t="shared" si="43"/>
        <v>0</v>
      </c>
      <c r="CY28">
        <f t="shared" ref="CY28:CY35" si="44">((S28*BZ28)/100)</f>
        <v>6396.5929999999989</v>
      </c>
      <c r="CZ28">
        <f t="shared" ref="CZ28:CZ35" si="45">((S28*CA28)/100)</f>
        <v>913.79899999999998</v>
      </c>
      <c r="DC28" t="s">
        <v>3</v>
      </c>
      <c r="DD28" t="s">
        <v>3</v>
      </c>
      <c r="DE28" t="s">
        <v>3</v>
      </c>
      <c r="DF28" t="s">
        <v>3</v>
      </c>
      <c r="DG28" t="s">
        <v>3</v>
      </c>
      <c r="DH28" t="s">
        <v>3</v>
      </c>
      <c r="DI28" t="s">
        <v>3</v>
      </c>
      <c r="DJ28" t="s">
        <v>3</v>
      </c>
      <c r="DK28" t="s">
        <v>3</v>
      </c>
      <c r="DL28" t="s">
        <v>3</v>
      </c>
      <c r="DM28" t="s">
        <v>3</v>
      </c>
      <c r="DN28">
        <v>0</v>
      </c>
      <c r="DO28">
        <v>0</v>
      </c>
      <c r="DP28">
        <v>1</v>
      </c>
      <c r="DQ28">
        <v>1</v>
      </c>
      <c r="DU28">
        <v>1007</v>
      </c>
      <c r="DV28" t="s">
        <v>17</v>
      </c>
      <c r="DW28" t="s">
        <v>17</v>
      </c>
      <c r="DX28">
        <v>100</v>
      </c>
      <c r="EE28">
        <v>34176748</v>
      </c>
      <c r="EF28">
        <v>1</v>
      </c>
      <c r="EG28" t="s">
        <v>19</v>
      </c>
      <c r="EH28">
        <v>0</v>
      </c>
      <c r="EI28" t="s">
        <v>3</v>
      </c>
      <c r="EJ28">
        <v>4</v>
      </c>
      <c r="EK28">
        <v>0</v>
      </c>
      <c r="EL28" t="s">
        <v>20</v>
      </c>
      <c r="EM28" t="s">
        <v>21</v>
      </c>
      <c r="EO28" t="s">
        <v>3</v>
      </c>
      <c r="EQ28">
        <v>0</v>
      </c>
      <c r="ER28">
        <v>48416.43</v>
      </c>
      <c r="ES28">
        <v>0</v>
      </c>
      <c r="ET28">
        <v>23380.83</v>
      </c>
      <c r="EU28">
        <v>12376.07</v>
      </c>
      <c r="EV28">
        <v>25035.599999999999</v>
      </c>
      <c r="EW28">
        <v>155</v>
      </c>
      <c r="EX28">
        <v>0</v>
      </c>
      <c r="EY28">
        <v>0</v>
      </c>
      <c r="FQ28">
        <v>0</v>
      </c>
      <c r="FR28">
        <f t="shared" ref="FR28:FR35" si="46">ROUND(IF(AND(BH28=3,BI28=3),P28,0),2)</f>
        <v>0</v>
      </c>
      <c r="FS28">
        <v>0</v>
      </c>
      <c r="FX28">
        <v>70</v>
      </c>
      <c r="FY28">
        <v>10</v>
      </c>
      <c r="GA28" t="s">
        <v>3</v>
      </c>
      <c r="GD28">
        <v>0</v>
      </c>
      <c r="GF28">
        <v>472548043</v>
      </c>
      <c r="GG28">
        <v>2</v>
      </c>
      <c r="GH28">
        <v>1</v>
      </c>
      <c r="GI28">
        <v>-2</v>
      </c>
      <c r="GJ28">
        <v>0</v>
      </c>
      <c r="GK28">
        <f>ROUND(R28*(R12)/100,2)</f>
        <v>4878.6499999999996</v>
      </c>
      <c r="GL28">
        <f t="shared" ref="GL28:GL35" si="47">ROUND(IF(AND(BH28=3,BI28=3,FS28&lt;&gt;0),P28,0),2)</f>
        <v>0</v>
      </c>
      <c r="GM28">
        <f>ROUND(O28+X28+Y28+GK28,2)+GX28</f>
        <v>29861.03</v>
      </c>
      <c r="GN28">
        <f>IF(OR(BI28=0,BI28=1),ROUND(O28+X28+Y28+GK28,2),0)</f>
        <v>0</v>
      </c>
      <c r="GO28">
        <f>IF(BI28=2,ROUND(O28+X28+Y28+GK28,2),0)</f>
        <v>0</v>
      </c>
      <c r="GP28">
        <f>IF(BI28=4,ROUND(O28+X28+Y28+GK28,2)+GX28,0)</f>
        <v>29861.03</v>
      </c>
      <c r="GR28">
        <v>0</v>
      </c>
      <c r="GS28">
        <v>3</v>
      </c>
      <c r="GT28">
        <v>0</v>
      </c>
      <c r="GU28" t="s">
        <v>3</v>
      </c>
      <c r="GV28">
        <f t="shared" ref="GV28:GV35" si="48">ROUND(GT28,6)</f>
        <v>0</v>
      </c>
      <c r="GW28">
        <v>1</v>
      </c>
      <c r="GX28">
        <f t="shared" ref="GX28:GX35" si="49">ROUND(GV28*GW28*I28,2)</f>
        <v>0</v>
      </c>
      <c r="HA28">
        <v>0</v>
      </c>
      <c r="HB28">
        <v>0</v>
      </c>
      <c r="IK28">
        <v>0</v>
      </c>
    </row>
    <row r="29" spans="1:245" x14ac:dyDescent="0.2">
      <c r="A29">
        <v>17</v>
      </c>
      <c r="B29">
        <v>1</v>
      </c>
      <c r="C29">
        <f>ROW(SmtRes!A7)</f>
        <v>7</v>
      </c>
      <c r="D29">
        <f>ROW(EtalonRes!A7)</f>
        <v>7</v>
      </c>
      <c r="E29" t="s">
        <v>22</v>
      </c>
      <c r="F29" t="s">
        <v>23</v>
      </c>
      <c r="G29" t="s">
        <v>24</v>
      </c>
      <c r="H29" t="s">
        <v>17</v>
      </c>
      <c r="I29">
        <f>ROUND(730*0.25/100,9)</f>
        <v>1.825</v>
      </c>
      <c r="J29">
        <v>0</v>
      </c>
      <c r="O29">
        <f t="shared" si="21"/>
        <v>7978.96</v>
      </c>
      <c r="P29">
        <f t="shared" si="22"/>
        <v>0</v>
      </c>
      <c r="Q29">
        <f t="shared" si="23"/>
        <v>5698.29</v>
      </c>
      <c r="R29">
        <f t="shared" si="24"/>
        <v>2380.79</v>
      </c>
      <c r="S29">
        <f t="shared" si="25"/>
        <v>2280.67</v>
      </c>
      <c r="T29">
        <f t="shared" si="26"/>
        <v>0</v>
      </c>
      <c r="U29">
        <f t="shared" si="27"/>
        <v>21.352499999999999</v>
      </c>
      <c r="V29">
        <f t="shared" si="28"/>
        <v>0</v>
      </c>
      <c r="W29">
        <f t="shared" si="29"/>
        <v>0</v>
      </c>
      <c r="X29">
        <f t="shared" si="30"/>
        <v>1596.47</v>
      </c>
      <c r="Y29">
        <f t="shared" si="30"/>
        <v>228.07</v>
      </c>
      <c r="AA29">
        <v>37598633</v>
      </c>
      <c r="AB29">
        <f t="shared" si="31"/>
        <v>4372.03</v>
      </c>
      <c r="AC29">
        <f t="shared" si="32"/>
        <v>0</v>
      </c>
      <c r="AD29">
        <f>ROUND((((ET29)-(EU29))+AE29),6)</f>
        <v>3122.35</v>
      </c>
      <c r="AE29">
        <f t="shared" si="33"/>
        <v>1304.54</v>
      </c>
      <c r="AF29">
        <f t="shared" si="33"/>
        <v>1249.68</v>
      </c>
      <c r="AG29">
        <f t="shared" si="34"/>
        <v>0</v>
      </c>
      <c r="AH29">
        <f t="shared" si="35"/>
        <v>11.7</v>
      </c>
      <c r="AI29">
        <f t="shared" si="35"/>
        <v>0</v>
      </c>
      <c r="AJ29">
        <f t="shared" si="36"/>
        <v>0</v>
      </c>
      <c r="AK29">
        <v>4372.03</v>
      </c>
      <c r="AL29">
        <v>0</v>
      </c>
      <c r="AM29">
        <v>3122.35</v>
      </c>
      <c r="AN29">
        <v>1304.54</v>
      </c>
      <c r="AO29">
        <v>1249.68</v>
      </c>
      <c r="AP29">
        <v>0</v>
      </c>
      <c r="AQ29">
        <v>11.7</v>
      </c>
      <c r="AR29">
        <v>0</v>
      </c>
      <c r="AS29">
        <v>0</v>
      </c>
      <c r="AT29">
        <v>70</v>
      </c>
      <c r="AU29">
        <v>10</v>
      </c>
      <c r="AV29">
        <v>1</v>
      </c>
      <c r="AW29">
        <v>1</v>
      </c>
      <c r="AZ29">
        <v>1</v>
      </c>
      <c r="BA29">
        <v>1</v>
      </c>
      <c r="BB29">
        <v>1</v>
      </c>
      <c r="BC29">
        <v>1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4</v>
      </c>
      <c r="BJ29" t="s">
        <v>25</v>
      </c>
      <c r="BM29">
        <v>0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70</v>
      </c>
      <c r="CA29">
        <v>10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7"/>
        <v>7978.96</v>
      </c>
      <c r="CQ29">
        <f t="shared" si="38"/>
        <v>0</v>
      </c>
      <c r="CR29">
        <f>((((ET29)*BB29-(EU29)*BS29)+AE29*BS29)*AV29)</f>
        <v>3122.35</v>
      </c>
      <c r="CS29">
        <f t="shared" si="39"/>
        <v>1304.54</v>
      </c>
      <c r="CT29">
        <f t="shared" si="40"/>
        <v>1249.68</v>
      </c>
      <c r="CU29">
        <f t="shared" si="41"/>
        <v>0</v>
      </c>
      <c r="CV29">
        <f t="shared" si="42"/>
        <v>11.7</v>
      </c>
      <c r="CW29">
        <f t="shared" si="43"/>
        <v>0</v>
      </c>
      <c r="CX29">
        <f t="shared" si="43"/>
        <v>0</v>
      </c>
      <c r="CY29">
        <f t="shared" si="44"/>
        <v>1596.4690000000001</v>
      </c>
      <c r="CZ29">
        <f t="shared" si="45"/>
        <v>228.06700000000001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1007</v>
      </c>
      <c r="DV29" t="s">
        <v>17</v>
      </c>
      <c r="DW29" t="s">
        <v>17</v>
      </c>
      <c r="DX29">
        <v>100</v>
      </c>
      <c r="EE29">
        <v>34176748</v>
      </c>
      <c r="EF29">
        <v>1</v>
      </c>
      <c r="EG29" t="s">
        <v>19</v>
      </c>
      <c r="EH29">
        <v>0</v>
      </c>
      <c r="EI29" t="s">
        <v>3</v>
      </c>
      <c r="EJ29">
        <v>4</v>
      </c>
      <c r="EK29">
        <v>0</v>
      </c>
      <c r="EL29" t="s">
        <v>20</v>
      </c>
      <c r="EM29" t="s">
        <v>21</v>
      </c>
      <c r="EO29" t="s">
        <v>3</v>
      </c>
      <c r="EQ29">
        <v>0</v>
      </c>
      <c r="ER29">
        <v>4372.03</v>
      </c>
      <c r="ES29">
        <v>0</v>
      </c>
      <c r="ET29">
        <v>3122.35</v>
      </c>
      <c r="EU29">
        <v>1304.54</v>
      </c>
      <c r="EV29">
        <v>1249.68</v>
      </c>
      <c r="EW29">
        <v>11.7</v>
      </c>
      <c r="EX29">
        <v>0</v>
      </c>
      <c r="EY29">
        <v>0</v>
      </c>
      <c r="FQ29">
        <v>0</v>
      </c>
      <c r="FR29">
        <f t="shared" si="46"/>
        <v>0</v>
      </c>
      <c r="FS29">
        <v>0</v>
      </c>
      <c r="FX29">
        <v>70</v>
      </c>
      <c r="FY29">
        <v>10</v>
      </c>
      <c r="GA29" t="s">
        <v>3</v>
      </c>
      <c r="GD29">
        <v>0</v>
      </c>
      <c r="GF29">
        <v>-274209699</v>
      </c>
      <c r="GG29">
        <v>2</v>
      </c>
      <c r="GH29">
        <v>1</v>
      </c>
      <c r="GI29">
        <v>-2</v>
      </c>
      <c r="GJ29">
        <v>0</v>
      </c>
      <c r="GK29">
        <f>ROUND(R29*(R12)/100,2)</f>
        <v>2571.25</v>
      </c>
      <c r="GL29">
        <f t="shared" si="47"/>
        <v>0</v>
      </c>
      <c r="GM29">
        <f>ROUND(O29+X29+Y29+GK29,2)+GX29</f>
        <v>12374.75</v>
      </c>
      <c r="GN29">
        <f>IF(OR(BI29=0,BI29=1),ROUND(O29+X29+Y29+GK29,2),0)</f>
        <v>0</v>
      </c>
      <c r="GO29">
        <f>IF(BI29=2,ROUND(O29+X29+Y29+GK29,2),0)</f>
        <v>0</v>
      </c>
      <c r="GP29">
        <f>IF(BI29=4,ROUND(O29+X29+Y29+GK29,2)+GX29,0)</f>
        <v>12374.75</v>
      </c>
      <c r="GR29">
        <v>0</v>
      </c>
      <c r="GS29">
        <v>3</v>
      </c>
      <c r="GT29">
        <v>0</v>
      </c>
      <c r="GU29" t="s">
        <v>3</v>
      </c>
      <c r="GV29">
        <f t="shared" si="48"/>
        <v>0</v>
      </c>
      <c r="GW29">
        <v>1</v>
      </c>
      <c r="GX29">
        <f t="shared" si="49"/>
        <v>0</v>
      </c>
      <c r="HA29">
        <v>0</v>
      </c>
      <c r="HB29">
        <v>0</v>
      </c>
      <c r="IK29">
        <v>0</v>
      </c>
    </row>
    <row r="30" spans="1:245" x14ac:dyDescent="0.2">
      <c r="A30">
        <v>17</v>
      </c>
      <c r="B30">
        <v>1</v>
      </c>
      <c r="C30">
        <f>ROW(SmtRes!A8)</f>
        <v>8</v>
      </c>
      <c r="D30">
        <f>ROW(EtalonRes!A8)</f>
        <v>8</v>
      </c>
      <c r="E30" t="s">
        <v>26</v>
      </c>
      <c r="F30" t="s">
        <v>27</v>
      </c>
      <c r="G30" t="s">
        <v>28</v>
      </c>
      <c r="H30" t="s">
        <v>29</v>
      </c>
      <c r="I30">
        <v>157.26863</v>
      </c>
      <c r="J30">
        <v>0</v>
      </c>
      <c r="O30">
        <f t="shared" si="21"/>
        <v>10945.9</v>
      </c>
      <c r="P30">
        <f t="shared" si="22"/>
        <v>0</v>
      </c>
      <c r="Q30">
        <f t="shared" si="23"/>
        <v>10945.9</v>
      </c>
      <c r="R30">
        <f t="shared" si="24"/>
        <v>4401.95</v>
      </c>
      <c r="S30">
        <f t="shared" si="25"/>
        <v>0</v>
      </c>
      <c r="T30">
        <f t="shared" si="26"/>
        <v>0</v>
      </c>
      <c r="U30">
        <f t="shared" si="27"/>
        <v>0</v>
      </c>
      <c r="V30">
        <f t="shared" si="28"/>
        <v>0</v>
      </c>
      <c r="W30">
        <f t="shared" si="29"/>
        <v>0</v>
      </c>
      <c r="X30">
        <f t="shared" si="30"/>
        <v>0</v>
      </c>
      <c r="Y30">
        <f t="shared" si="30"/>
        <v>0</v>
      </c>
      <c r="AA30">
        <v>37598633</v>
      </c>
      <c r="AB30">
        <f t="shared" si="31"/>
        <v>69.599999999999994</v>
      </c>
      <c r="AC30">
        <f t="shared" si="32"/>
        <v>0</v>
      </c>
      <c r="AD30">
        <f>ROUND((((ET30)-(EU30))+AE30),6)</f>
        <v>69.599999999999994</v>
      </c>
      <c r="AE30">
        <f t="shared" si="33"/>
        <v>27.99</v>
      </c>
      <c r="AF30">
        <f t="shared" si="33"/>
        <v>0</v>
      </c>
      <c r="AG30">
        <f t="shared" si="34"/>
        <v>0</v>
      </c>
      <c r="AH30">
        <f t="shared" si="35"/>
        <v>0</v>
      </c>
      <c r="AI30">
        <f t="shared" si="35"/>
        <v>0</v>
      </c>
      <c r="AJ30">
        <f t="shared" si="36"/>
        <v>0</v>
      </c>
      <c r="AK30">
        <v>69.599999999999994</v>
      </c>
      <c r="AL30">
        <v>0</v>
      </c>
      <c r="AM30">
        <v>69.599999999999994</v>
      </c>
      <c r="AN30">
        <v>27.99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70</v>
      </c>
      <c r="AU30">
        <v>10</v>
      </c>
      <c r="AV30">
        <v>1</v>
      </c>
      <c r="AW30">
        <v>1</v>
      </c>
      <c r="AZ30">
        <v>1</v>
      </c>
      <c r="BA30">
        <v>1</v>
      </c>
      <c r="BB30">
        <v>1</v>
      </c>
      <c r="BC30">
        <v>1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4</v>
      </c>
      <c r="BJ30" t="s">
        <v>30</v>
      </c>
      <c r="BM30">
        <v>0</v>
      </c>
      <c r="BN30">
        <v>0</v>
      </c>
      <c r="BO30" t="s">
        <v>3</v>
      </c>
      <c r="BP30">
        <v>0</v>
      </c>
      <c r="BQ30">
        <v>1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70</v>
      </c>
      <c r="CA30">
        <v>10</v>
      </c>
      <c r="CF30">
        <v>0</v>
      </c>
      <c r="CG30">
        <v>0</v>
      </c>
      <c r="CM30">
        <v>0</v>
      </c>
      <c r="CN30" t="s">
        <v>3</v>
      </c>
      <c r="CO30">
        <v>0</v>
      </c>
      <c r="CP30">
        <f t="shared" si="37"/>
        <v>10945.9</v>
      </c>
      <c r="CQ30">
        <f t="shared" si="38"/>
        <v>0</v>
      </c>
      <c r="CR30">
        <f>((((ET30)*BB30-(EU30)*BS30)+AE30*BS30)*AV30)</f>
        <v>69.599999999999994</v>
      </c>
      <c r="CS30">
        <f t="shared" si="39"/>
        <v>27.99</v>
      </c>
      <c r="CT30">
        <f t="shared" si="40"/>
        <v>0</v>
      </c>
      <c r="CU30">
        <f t="shared" si="41"/>
        <v>0</v>
      </c>
      <c r="CV30">
        <f t="shared" si="42"/>
        <v>0</v>
      </c>
      <c r="CW30">
        <f t="shared" si="43"/>
        <v>0</v>
      </c>
      <c r="CX30">
        <f t="shared" si="43"/>
        <v>0</v>
      </c>
      <c r="CY30">
        <f t="shared" si="44"/>
        <v>0</v>
      </c>
      <c r="CZ30">
        <f t="shared" si="45"/>
        <v>0</v>
      </c>
      <c r="DC30" t="s">
        <v>3</v>
      </c>
      <c r="DD30" t="s">
        <v>3</v>
      </c>
      <c r="DE30" t="s">
        <v>3</v>
      </c>
      <c r="DF30" t="s">
        <v>3</v>
      </c>
      <c r="DG30" t="s">
        <v>3</v>
      </c>
      <c r="DH30" t="s">
        <v>3</v>
      </c>
      <c r="DI30" t="s">
        <v>3</v>
      </c>
      <c r="DJ30" t="s">
        <v>3</v>
      </c>
      <c r="DK30" t="s">
        <v>3</v>
      </c>
      <c r="DL30" t="s">
        <v>3</v>
      </c>
      <c r="DM30" t="s">
        <v>3</v>
      </c>
      <c r="DN30">
        <v>0</v>
      </c>
      <c r="DO30">
        <v>0</v>
      </c>
      <c r="DP30">
        <v>1</v>
      </c>
      <c r="DQ30">
        <v>1</v>
      </c>
      <c r="DU30">
        <v>1009</v>
      </c>
      <c r="DV30" t="s">
        <v>29</v>
      </c>
      <c r="DW30" t="s">
        <v>29</v>
      </c>
      <c r="DX30">
        <v>1000</v>
      </c>
      <c r="EE30">
        <v>34176748</v>
      </c>
      <c r="EF30">
        <v>1</v>
      </c>
      <c r="EG30" t="s">
        <v>19</v>
      </c>
      <c r="EH30">
        <v>0</v>
      </c>
      <c r="EI30" t="s">
        <v>3</v>
      </c>
      <c r="EJ30">
        <v>4</v>
      </c>
      <c r="EK30">
        <v>0</v>
      </c>
      <c r="EL30" t="s">
        <v>20</v>
      </c>
      <c r="EM30" t="s">
        <v>21</v>
      </c>
      <c r="EO30" t="s">
        <v>3</v>
      </c>
      <c r="EQ30">
        <v>0</v>
      </c>
      <c r="ER30">
        <v>69.599999999999994</v>
      </c>
      <c r="ES30">
        <v>0</v>
      </c>
      <c r="ET30">
        <v>69.599999999999994</v>
      </c>
      <c r="EU30">
        <v>27.99</v>
      </c>
      <c r="EV30">
        <v>0</v>
      </c>
      <c r="EW30">
        <v>0</v>
      </c>
      <c r="EX30">
        <v>0</v>
      </c>
      <c r="EY30">
        <v>0</v>
      </c>
      <c r="FQ30">
        <v>0</v>
      </c>
      <c r="FR30">
        <f t="shared" si="46"/>
        <v>0</v>
      </c>
      <c r="FS30">
        <v>0</v>
      </c>
      <c r="FX30">
        <v>70</v>
      </c>
      <c r="FY30">
        <v>10</v>
      </c>
      <c r="GA30" t="s">
        <v>3</v>
      </c>
      <c r="GD30">
        <v>0</v>
      </c>
      <c r="GF30">
        <v>1611252458</v>
      </c>
      <c r="GG30">
        <v>2</v>
      </c>
      <c r="GH30">
        <v>1</v>
      </c>
      <c r="GI30">
        <v>-2</v>
      </c>
      <c r="GJ30">
        <v>0</v>
      </c>
      <c r="GK30">
        <f>ROUND(R30*(R12)/100,2)</f>
        <v>4754.1099999999997</v>
      </c>
      <c r="GL30">
        <f t="shared" si="47"/>
        <v>0</v>
      </c>
      <c r="GM30">
        <f>ROUND(O30+X30+Y30+GK30,2)+GX30</f>
        <v>15700.01</v>
      </c>
      <c r="GN30">
        <f>IF(OR(BI30=0,BI30=1),ROUND(O30+X30+Y30+GK30,2),0)</f>
        <v>0</v>
      </c>
      <c r="GO30">
        <f>IF(BI30=2,ROUND(O30+X30+Y30+GK30,2),0)</f>
        <v>0</v>
      </c>
      <c r="GP30">
        <f>IF(BI30=4,ROUND(O30+X30+Y30+GK30,2)+GX30,0)</f>
        <v>15700.01</v>
      </c>
      <c r="GR30">
        <v>0</v>
      </c>
      <c r="GS30">
        <v>3</v>
      </c>
      <c r="GT30">
        <v>0</v>
      </c>
      <c r="GU30" t="s">
        <v>3</v>
      </c>
      <c r="GV30">
        <f t="shared" si="48"/>
        <v>0</v>
      </c>
      <c r="GW30">
        <v>1</v>
      </c>
      <c r="GX30">
        <f t="shared" si="49"/>
        <v>0</v>
      </c>
      <c r="HA30">
        <v>0</v>
      </c>
      <c r="HB30">
        <v>0</v>
      </c>
      <c r="IK30">
        <v>0</v>
      </c>
    </row>
    <row r="31" spans="1:245" x14ac:dyDescent="0.2">
      <c r="A31">
        <v>17</v>
      </c>
      <c r="B31">
        <v>1</v>
      </c>
      <c r="C31">
        <f>ROW(SmtRes!A10)</f>
        <v>10</v>
      </c>
      <c r="D31">
        <f>ROW(EtalonRes!A10)</f>
        <v>10</v>
      </c>
      <c r="E31" t="s">
        <v>31</v>
      </c>
      <c r="F31" t="s">
        <v>32</v>
      </c>
      <c r="G31" t="s">
        <v>33</v>
      </c>
      <c r="H31" t="s">
        <v>29</v>
      </c>
      <c r="I31">
        <f>ROUND(I30,9)</f>
        <v>157.26863</v>
      </c>
      <c r="J31">
        <v>0</v>
      </c>
      <c r="O31">
        <f t="shared" si="21"/>
        <v>9988.1299999999992</v>
      </c>
      <c r="P31">
        <f t="shared" si="22"/>
        <v>0</v>
      </c>
      <c r="Q31">
        <f t="shared" si="23"/>
        <v>9988.1299999999992</v>
      </c>
      <c r="R31">
        <f t="shared" si="24"/>
        <v>7497</v>
      </c>
      <c r="S31">
        <f t="shared" si="25"/>
        <v>0</v>
      </c>
      <c r="T31">
        <f t="shared" si="26"/>
        <v>0</v>
      </c>
      <c r="U31">
        <f t="shared" si="27"/>
        <v>0</v>
      </c>
      <c r="V31">
        <f t="shared" si="28"/>
        <v>0</v>
      </c>
      <c r="W31">
        <f t="shared" si="29"/>
        <v>0</v>
      </c>
      <c r="X31">
        <f t="shared" si="30"/>
        <v>0</v>
      </c>
      <c r="Y31">
        <f t="shared" si="30"/>
        <v>0</v>
      </c>
      <c r="AA31">
        <v>37598633</v>
      </c>
      <c r="AB31">
        <f t="shared" si="31"/>
        <v>63.51</v>
      </c>
      <c r="AC31">
        <f t="shared" si="32"/>
        <v>0</v>
      </c>
      <c r="AD31">
        <f>ROUND((((ET31)-(EU31))+AE31),6)</f>
        <v>63.51</v>
      </c>
      <c r="AE31">
        <f t="shared" si="33"/>
        <v>47.67</v>
      </c>
      <c r="AF31">
        <f t="shared" si="33"/>
        <v>0</v>
      </c>
      <c r="AG31">
        <f t="shared" si="34"/>
        <v>0</v>
      </c>
      <c r="AH31">
        <f t="shared" si="35"/>
        <v>0</v>
      </c>
      <c r="AI31">
        <f t="shared" si="35"/>
        <v>0</v>
      </c>
      <c r="AJ31">
        <f t="shared" si="36"/>
        <v>0</v>
      </c>
      <c r="AK31">
        <v>63.51</v>
      </c>
      <c r="AL31">
        <v>0</v>
      </c>
      <c r="AM31">
        <v>63.51</v>
      </c>
      <c r="AN31">
        <v>47.67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1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4</v>
      </c>
      <c r="BJ31" t="s">
        <v>34</v>
      </c>
      <c r="BM31">
        <v>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0</v>
      </c>
      <c r="CA31">
        <v>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7"/>
        <v>9988.1299999999992</v>
      </c>
      <c r="CQ31">
        <f t="shared" si="38"/>
        <v>0</v>
      </c>
      <c r="CR31">
        <f>((((ET31)*BB31-(EU31)*BS31)+AE31*BS31)*AV31)</f>
        <v>63.51</v>
      </c>
      <c r="CS31">
        <f t="shared" si="39"/>
        <v>47.67</v>
      </c>
      <c r="CT31">
        <f t="shared" si="40"/>
        <v>0</v>
      </c>
      <c r="CU31">
        <f t="shared" si="41"/>
        <v>0</v>
      </c>
      <c r="CV31">
        <f t="shared" si="42"/>
        <v>0</v>
      </c>
      <c r="CW31">
        <f t="shared" si="43"/>
        <v>0</v>
      </c>
      <c r="CX31">
        <f t="shared" si="43"/>
        <v>0</v>
      </c>
      <c r="CY31">
        <f t="shared" si="44"/>
        <v>0</v>
      </c>
      <c r="CZ31">
        <f t="shared" si="45"/>
        <v>0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1009</v>
      </c>
      <c r="DV31" t="s">
        <v>29</v>
      </c>
      <c r="DW31" t="s">
        <v>29</v>
      </c>
      <c r="DX31">
        <v>1000</v>
      </c>
      <c r="EE31">
        <v>34176750</v>
      </c>
      <c r="EF31">
        <v>1</v>
      </c>
      <c r="EG31" t="s">
        <v>19</v>
      </c>
      <c r="EH31">
        <v>0</v>
      </c>
      <c r="EI31" t="s">
        <v>3</v>
      </c>
      <c r="EJ31">
        <v>4</v>
      </c>
      <c r="EK31">
        <v>1</v>
      </c>
      <c r="EL31" t="s">
        <v>35</v>
      </c>
      <c r="EM31" t="s">
        <v>21</v>
      </c>
      <c r="EO31" t="s">
        <v>3</v>
      </c>
      <c r="EQ31">
        <v>0</v>
      </c>
      <c r="ER31">
        <v>63.51</v>
      </c>
      <c r="ES31">
        <v>0</v>
      </c>
      <c r="ET31">
        <v>63.51</v>
      </c>
      <c r="EU31">
        <v>47.67</v>
      </c>
      <c r="EV31">
        <v>0</v>
      </c>
      <c r="EW31">
        <v>0</v>
      </c>
      <c r="EX31">
        <v>0</v>
      </c>
      <c r="EY31">
        <v>0</v>
      </c>
      <c r="FQ31">
        <v>0</v>
      </c>
      <c r="FR31">
        <f t="shared" si="46"/>
        <v>0</v>
      </c>
      <c r="FS31">
        <v>0</v>
      </c>
      <c r="FX31">
        <v>0</v>
      </c>
      <c r="FY31">
        <v>0</v>
      </c>
      <c r="GA31" t="s">
        <v>3</v>
      </c>
      <c r="GD31">
        <v>1</v>
      </c>
      <c r="GF31">
        <v>-1761436808</v>
      </c>
      <c r="GG31">
        <v>2</v>
      </c>
      <c r="GH31">
        <v>1</v>
      </c>
      <c r="GI31">
        <v>-2</v>
      </c>
      <c r="GJ31">
        <v>0</v>
      </c>
      <c r="GK31">
        <v>0</v>
      </c>
      <c r="GL31">
        <f t="shared" si="47"/>
        <v>0</v>
      </c>
      <c r="GM31">
        <f>ROUND(O31+X31+Y31,2)+GX31</f>
        <v>9988.1299999999992</v>
      </c>
      <c r="GN31">
        <f>IF(OR(BI31=0,BI31=1),ROUND(O31+X31+Y31,2),0)</f>
        <v>0</v>
      </c>
      <c r="GO31">
        <f>IF(BI31=2,ROUND(O31+X31+Y31,2),0)</f>
        <v>0</v>
      </c>
      <c r="GP31">
        <f>IF(BI31=4,ROUND(O31+X31+Y31,2)+GX31,0)</f>
        <v>9988.1299999999992</v>
      </c>
      <c r="GR31">
        <v>0</v>
      </c>
      <c r="GS31">
        <v>3</v>
      </c>
      <c r="GT31">
        <v>0</v>
      </c>
      <c r="GU31" t="s">
        <v>3</v>
      </c>
      <c r="GV31">
        <f t="shared" si="48"/>
        <v>0</v>
      </c>
      <c r="GW31">
        <v>1</v>
      </c>
      <c r="GX31">
        <f t="shared" si="49"/>
        <v>0</v>
      </c>
      <c r="HA31">
        <v>0</v>
      </c>
      <c r="HB31">
        <v>0</v>
      </c>
      <c r="IK31">
        <v>0</v>
      </c>
    </row>
    <row r="32" spans="1:245" x14ac:dyDescent="0.2">
      <c r="A32">
        <v>17</v>
      </c>
      <c r="B32">
        <v>1</v>
      </c>
      <c r="C32">
        <f>ROW(SmtRes!A12)</f>
        <v>12</v>
      </c>
      <c r="D32">
        <f>ROW(EtalonRes!A12)</f>
        <v>12</v>
      </c>
      <c r="E32" t="s">
        <v>36</v>
      </c>
      <c r="F32" t="s">
        <v>37</v>
      </c>
      <c r="G32" t="s">
        <v>38</v>
      </c>
      <c r="H32" t="s">
        <v>29</v>
      </c>
      <c r="I32">
        <f>ROUND(I31,9)</f>
        <v>157.26863</v>
      </c>
      <c r="J32">
        <v>0</v>
      </c>
      <c r="O32">
        <f t="shared" si="21"/>
        <v>117715.57</v>
      </c>
      <c r="P32">
        <f t="shared" si="22"/>
        <v>0</v>
      </c>
      <c r="Q32">
        <f t="shared" si="23"/>
        <v>117715.57</v>
      </c>
      <c r="R32">
        <f t="shared" si="24"/>
        <v>88424.29</v>
      </c>
      <c r="S32">
        <f t="shared" si="25"/>
        <v>0</v>
      </c>
      <c r="T32">
        <f t="shared" si="26"/>
        <v>0</v>
      </c>
      <c r="U32">
        <f t="shared" si="27"/>
        <v>0</v>
      </c>
      <c r="V32">
        <f t="shared" si="28"/>
        <v>0</v>
      </c>
      <c r="W32">
        <f t="shared" si="29"/>
        <v>0</v>
      </c>
      <c r="X32">
        <f t="shared" si="30"/>
        <v>0</v>
      </c>
      <c r="Y32">
        <f t="shared" si="30"/>
        <v>0</v>
      </c>
      <c r="AA32">
        <v>37598633</v>
      </c>
      <c r="AB32">
        <f t="shared" si="31"/>
        <v>748.5</v>
      </c>
      <c r="AC32">
        <f t="shared" si="32"/>
        <v>0</v>
      </c>
      <c r="AD32">
        <f>ROUND(((((ET32*25))-((EU32*25)))+AE32),6)</f>
        <v>748.5</v>
      </c>
      <c r="AE32">
        <f>ROUND(((EU32*25)),6)</f>
        <v>562.25</v>
      </c>
      <c r="AF32">
        <f>ROUND(((EV32*25)),6)</f>
        <v>0</v>
      </c>
      <c r="AG32">
        <f t="shared" si="34"/>
        <v>0</v>
      </c>
      <c r="AH32">
        <f>((EW32*25))</f>
        <v>0</v>
      </c>
      <c r="AI32">
        <f>((EX32*25))</f>
        <v>0</v>
      </c>
      <c r="AJ32">
        <f t="shared" si="36"/>
        <v>0</v>
      </c>
      <c r="AK32">
        <v>29.94</v>
      </c>
      <c r="AL32">
        <v>0</v>
      </c>
      <c r="AM32">
        <v>29.94</v>
      </c>
      <c r="AN32">
        <v>22.49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1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4</v>
      </c>
      <c r="BJ32" t="s">
        <v>39</v>
      </c>
      <c r="BM32">
        <v>1</v>
      </c>
      <c r="BN32">
        <v>0</v>
      </c>
      <c r="BO32" t="s">
        <v>3</v>
      </c>
      <c r="BP32">
        <v>0</v>
      </c>
      <c r="BQ32">
        <v>1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0</v>
      </c>
      <c r="CA32">
        <v>0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 t="shared" si="37"/>
        <v>117715.57</v>
      </c>
      <c r="CQ32">
        <f t="shared" si="38"/>
        <v>0</v>
      </c>
      <c r="CR32">
        <f>(((((ET32*25))*BB32-((EU32*25))*BS32)+AE32*BS32)*AV32)</f>
        <v>748.5</v>
      </c>
      <c r="CS32">
        <f t="shared" si="39"/>
        <v>562.25</v>
      </c>
      <c r="CT32">
        <f t="shared" si="40"/>
        <v>0</v>
      </c>
      <c r="CU32">
        <f t="shared" si="41"/>
        <v>0</v>
      </c>
      <c r="CV32">
        <f t="shared" si="42"/>
        <v>0</v>
      </c>
      <c r="CW32">
        <f t="shared" si="43"/>
        <v>0</v>
      </c>
      <c r="CX32">
        <f t="shared" si="43"/>
        <v>0</v>
      </c>
      <c r="CY32">
        <f t="shared" si="44"/>
        <v>0</v>
      </c>
      <c r="CZ32">
        <f t="shared" si="45"/>
        <v>0</v>
      </c>
      <c r="DC32" t="s">
        <v>3</v>
      </c>
      <c r="DD32" t="s">
        <v>3</v>
      </c>
      <c r="DE32" t="s">
        <v>40</v>
      </c>
      <c r="DF32" t="s">
        <v>40</v>
      </c>
      <c r="DG32" t="s">
        <v>40</v>
      </c>
      <c r="DH32" t="s">
        <v>3</v>
      </c>
      <c r="DI32" t="s">
        <v>40</v>
      </c>
      <c r="DJ32" t="s">
        <v>40</v>
      </c>
      <c r="DK32" t="s">
        <v>3</v>
      </c>
      <c r="DL32" t="s">
        <v>3</v>
      </c>
      <c r="DM32" t="s">
        <v>3</v>
      </c>
      <c r="DN32">
        <v>0</v>
      </c>
      <c r="DO32">
        <v>0</v>
      </c>
      <c r="DP32">
        <v>1</v>
      </c>
      <c r="DQ32">
        <v>1</v>
      </c>
      <c r="DU32">
        <v>1009</v>
      </c>
      <c r="DV32" t="s">
        <v>29</v>
      </c>
      <c r="DW32" t="s">
        <v>29</v>
      </c>
      <c r="DX32">
        <v>1000</v>
      </c>
      <c r="EE32">
        <v>34176750</v>
      </c>
      <c r="EF32">
        <v>1</v>
      </c>
      <c r="EG32" t="s">
        <v>19</v>
      </c>
      <c r="EH32">
        <v>0</v>
      </c>
      <c r="EI32" t="s">
        <v>3</v>
      </c>
      <c r="EJ32">
        <v>4</v>
      </c>
      <c r="EK32">
        <v>1</v>
      </c>
      <c r="EL32" t="s">
        <v>35</v>
      </c>
      <c r="EM32" t="s">
        <v>21</v>
      </c>
      <c r="EO32" t="s">
        <v>3</v>
      </c>
      <c r="EQ32">
        <v>0</v>
      </c>
      <c r="ER32">
        <v>29.94</v>
      </c>
      <c r="ES32">
        <v>0</v>
      </c>
      <c r="ET32">
        <v>29.94</v>
      </c>
      <c r="EU32">
        <v>22.49</v>
      </c>
      <c r="EV32">
        <v>0</v>
      </c>
      <c r="EW32">
        <v>0</v>
      </c>
      <c r="EX32">
        <v>0</v>
      </c>
      <c r="EY32">
        <v>0</v>
      </c>
      <c r="FQ32">
        <v>0</v>
      </c>
      <c r="FR32">
        <f t="shared" si="46"/>
        <v>0</v>
      </c>
      <c r="FS32">
        <v>0</v>
      </c>
      <c r="FX32">
        <v>0</v>
      </c>
      <c r="FY32">
        <v>0</v>
      </c>
      <c r="GA32" t="s">
        <v>3</v>
      </c>
      <c r="GD32">
        <v>1</v>
      </c>
      <c r="GF32">
        <v>-254906126</v>
      </c>
      <c r="GG32">
        <v>2</v>
      </c>
      <c r="GH32">
        <v>1</v>
      </c>
      <c r="GI32">
        <v>-2</v>
      </c>
      <c r="GJ32">
        <v>0</v>
      </c>
      <c r="GK32">
        <v>0</v>
      </c>
      <c r="GL32">
        <f t="shared" si="47"/>
        <v>0</v>
      </c>
      <c r="GM32">
        <f>ROUND(O32+X32+Y32,2)+GX32</f>
        <v>117715.57</v>
      </c>
      <c r="GN32">
        <f>IF(OR(BI32=0,BI32=1),ROUND(O32+X32+Y32,2),0)</f>
        <v>0</v>
      </c>
      <c r="GO32">
        <f>IF(BI32=2,ROUND(O32+X32+Y32,2),0)</f>
        <v>0</v>
      </c>
      <c r="GP32">
        <f>IF(BI32=4,ROUND(O32+X32+Y32,2)+GX32,0)</f>
        <v>117715.57</v>
      </c>
      <c r="GR32">
        <v>0</v>
      </c>
      <c r="GS32">
        <v>3</v>
      </c>
      <c r="GT32">
        <v>0</v>
      </c>
      <c r="GU32" t="s">
        <v>3</v>
      </c>
      <c r="GV32">
        <f t="shared" si="48"/>
        <v>0</v>
      </c>
      <c r="GW32">
        <v>1</v>
      </c>
      <c r="GX32">
        <f t="shared" si="49"/>
        <v>0</v>
      </c>
      <c r="HA32">
        <v>0</v>
      </c>
      <c r="HB32">
        <v>0</v>
      </c>
      <c r="IK32">
        <v>0</v>
      </c>
    </row>
    <row r="33" spans="1:245" x14ac:dyDescent="0.2">
      <c r="A33">
        <v>17</v>
      </c>
      <c r="B33">
        <v>1</v>
      </c>
      <c r="C33">
        <f>ROW(SmtRes!A20)</f>
        <v>20</v>
      </c>
      <c r="D33">
        <f>ROW(EtalonRes!A20)</f>
        <v>20</v>
      </c>
      <c r="E33" t="s">
        <v>41</v>
      </c>
      <c r="F33" t="s">
        <v>42</v>
      </c>
      <c r="G33" t="s">
        <v>43</v>
      </c>
      <c r="H33" t="s">
        <v>17</v>
      </c>
      <c r="I33">
        <f>ROUND(730*0.1/100,9)</f>
        <v>0.73</v>
      </c>
      <c r="J33">
        <v>0</v>
      </c>
      <c r="O33">
        <f t="shared" si="21"/>
        <v>52114.98</v>
      </c>
      <c r="P33">
        <f t="shared" si="22"/>
        <v>45011.18</v>
      </c>
      <c r="Q33">
        <f t="shared" si="23"/>
        <v>5236.6899999999996</v>
      </c>
      <c r="R33">
        <f t="shared" si="24"/>
        <v>1948.84</v>
      </c>
      <c r="S33">
        <f t="shared" si="25"/>
        <v>1867.11</v>
      </c>
      <c r="T33">
        <f t="shared" si="26"/>
        <v>0</v>
      </c>
      <c r="U33">
        <f t="shared" si="27"/>
        <v>12.088799999999999</v>
      </c>
      <c r="V33">
        <f t="shared" si="28"/>
        <v>0</v>
      </c>
      <c r="W33">
        <f t="shared" si="29"/>
        <v>0</v>
      </c>
      <c r="X33">
        <f t="shared" si="30"/>
        <v>1306.98</v>
      </c>
      <c r="Y33">
        <f t="shared" si="30"/>
        <v>186.71</v>
      </c>
      <c r="AA33">
        <v>37598633</v>
      </c>
      <c r="AB33">
        <f t="shared" si="31"/>
        <v>71390.39</v>
      </c>
      <c r="AC33">
        <f t="shared" si="32"/>
        <v>61659.15</v>
      </c>
      <c r="AD33">
        <f>ROUND((((ET33)-(EU33))+AE33),6)</f>
        <v>7173.55</v>
      </c>
      <c r="AE33">
        <f t="shared" ref="AE33:AF35" si="50">ROUND((EU33),6)</f>
        <v>2669.64</v>
      </c>
      <c r="AF33">
        <f t="shared" si="50"/>
        <v>2557.69</v>
      </c>
      <c r="AG33">
        <f t="shared" si="34"/>
        <v>0</v>
      </c>
      <c r="AH33">
        <f t="shared" ref="AH33:AI35" si="51">(EW33)</f>
        <v>16.559999999999999</v>
      </c>
      <c r="AI33">
        <f t="shared" si="51"/>
        <v>0</v>
      </c>
      <c r="AJ33">
        <f t="shared" si="36"/>
        <v>0</v>
      </c>
      <c r="AK33">
        <v>71390.39</v>
      </c>
      <c r="AL33">
        <v>61659.15</v>
      </c>
      <c r="AM33">
        <v>7173.55</v>
      </c>
      <c r="AN33">
        <v>2669.64</v>
      </c>
      <c r="AO33">
        <v>2557.69</v>
      </c>
      <c r="AP33">
        <v>0</v>
      </c>
      <c r="AQ33">
        <v>16.559999999999999</v>
      </c>
      <c r="AR33">
        <v>0</v>
      </c>
      <c r="AS33">
        <v>0</v>
      </c>
      <c r="AT33">
        <v>70</v>
      </c>
      <c r="AU33">
        <v>10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1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4</v>
      </c>
      <c r="BJ33" t="s">
        <v>44</v>
      </c>
      <c r="BM33">
        <v>0</v>
      </c>
      <c r="BN33">
        <v>0</v>
      </c>
      <c r="BO33" t="s">
        <v>3</v>
      </c>
      <c r="BP33">
        <v>0</v>
      </c>
      <c r="BQ33">
        <v>1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70</v>
      </c>
      <c r="CA33">
        <v>10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7"/>
        <v>52114.98</v>
      </c>
      <c r="CQ33">
        <f t="shared" si="38"/>
        <v>61659.15</v>
      </c>
      <c r="CR33">
        <f>((((ET33)*BB33-(EU33)*BS33)+AE33*BS33)*AV33)</f>
        <v>7173.5499999999993</v>
      </c>
      <c r="CS33">
        <f t="shared" si="39"/>
        <v>2669.64</v>
      </c>
      <c r="CT33">
        <f t="shared" si="40"/>
        <v>2557.69</v>
      </c>
      <c r="CU33">
        <f t="shared" si="41"/>
        <v>0</v>
      </c>
      <c r="CV33">
        <f t="shared" si="42"/>
        <v>16.559999999999999</v>
      </c>
      <c r="CW33">
        <f t="shared" si="43"/>
        <v>0</v>
      </c>
      <c r="CX33">
        <f t="shared" si="43"/>
        <v>0</v>
      </c>
      <c r="CY33">
        <f t="shared" si="44"/>
        <v>1306.9769999999999</v>
      </c>
      <c r="CZ33">
        <f t="shared" si="45"/>
        <v>186.71099999999998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1007</v>
      </c>
      <c r="DV33" t="s">
        <v>17</v>
      </c>
      <c r="DW33" t="s">
        <v>17</v>
      </c>
      <c r="DX33">
        <v>100</v>
      </c>
      <c r="EE33">
        <v>34176748</v>
      </c>
      <c r="EF33">
        <v>1</v>
      </c>
      <c r="EG33" t="s">
        <v>19</v>
      </c>
      <c r="EH33">
        <v>0</v>
      </c>
      <c r="EI33" t="s">
        <v>3</v>
      </c>
      <c r="EJ33">
        <v>4</v>
      </c>
      <c r="EK33">
        <v>0</v>
      </c>
      <c r="EL33" t="s">
        <v>20</v>
      </c>
      <c r="EM33" t="s">
        <v>21</v>
      </c>
      <c r="EO33" t="s">
        <v>3</v>
      </c>
      <c r="EQ33">
        <v>0</v>
      </c>
      <c r="ER33">
        <v>71390.39</v>
      </c>
      <c r="ES33">
        <v>61659.15</v>
      </c>
      <c r="ET33">
        <v>7173.55</v>
      </c>
      <c r="EU33">
        <v>2669.64</v>
      </c>
      <c r="EV33">
        <v>2557.69</v>
      </c>
      <c r="EW33">
        <v>16.559999999999999</v>
      </c>
      <c r="EX33">
        <v>0</v>
      </c>
      <c r="EY33">
        <v>0</v>
      </c>
      <c r="FQ33">
        <v>0</v>
      </c>
      <c r="FR33">
        <f t="shared" si="46"/>
        <v>0</v>
      </c>
      <c r="FS33">
        <v>0</v>
      </c>
      <c r="FX33">
        <v>70</v>
      </c>
      <c r="FY33">
        <v>10</v>
      </c>
      <c r="GA33" t="s">
        <v>3</v>
      </c>
      <c r="GD33">
        <v>0</v>
      </c>
      <c r="GF33">
        <v>-1632936602</v>
      </c>
      <c r="GG33">
        <v>2</v>
      </c>
      <c r="GH33">
        <v>1</v>
      </c>
      <c r="GI33">
        <v>-2</v>
      </c>
      <c r="GJ33">
        <v>0</v>
      </c>
      <c r="GK33">
        <f>ROUND(R33*(R12)/100,2)</f>
        <v>2104.75</v>
      </c>
      <c r="GL33">
        <f t="shared" si="47"/>
        <v>0</v>
      </c>
      <c r="GM33">
        <f>ROUND(O33+X33+Y33+GK33,2)+GX33</f>
        <v>55713.42</v>
      </c>
      <c r="GN33">
        <f>IF(OR(BI33=0,BI33=1),ROUND(O33+X33+Y33+GK33,2),0)</f>
        <v>0</v>
      </c>
      <c r="GO33">
        <f>IF(BI33=2,ROUND(O33+X33+Y33+GK33,2),0)</f>
        <v>0</v>
      </c>
      <c r="GP33">
        <f>IF(BI33=4,ROUND(O33+X33+Y33+GK33,2)+GX33,0)</f>
        <v>55713.42</v>
      </c>
      <c r="GR33">
        <v>0</v>
      </c>
      <c r="GS33">
        <v>3</v>
      </c>
      <c r="GT33">
        <v>0</v>
      </c>
      <c r="GU33" t="s">
        <v>3</v>
      </c>
      <c r="GV33">
        <f t="shared" si="48"/>
        <v>0</v>
      </c>
      <c r="GW33">
        <v>1</v>
      </c>
      <c r="GX33">
        <f t="shared" si="49"/>
        <v>0</v>
      </c>
      <c r="HA33">
        <v>0</v>
      </c>
      <c r="HB33">
        <v>0</v>
      </c>
      <c r="IK33">
        <v>0</v>
      </c>
    </row>
    <row r="34" spans="1:245" x14ac:dyDescent="0.2">
      <c r="A34">
        <v>17</v>
      </c>
      <c r="B34">
        <v>1</v>
      </c>
      <c r="C34">
        <f>ROW(SmtRes!A29)</f>
        <v>29</v>
      </c>
      <c r="D34">
        <f>ROW(EtalonRes!A29)</f>
        <v>29</v>
      </c>
      <c r="E34" t="s">
        <v>45</v>
      </c>
      <c r="F34" t="s">
        <v>46</v>
      </c>
      <c r="G34" t="s">
        <v>47</v>
      </c>
      <c r="H34" t="s">
        <v>17</v>
      </c>
      <c r="I34">
        <f>ROUND(I33,9)</f>
        <v>0.73</v>
      </c>
      <c r="J34">
        <v>0</v>
      </c>
      <c r="O34">
        <f t="shared" si="21"/>
        <v>210330.64</v>
      </c>
      <c r="P34">
        <f t="shared" si="22"/>
        <v>175918.96</v>
      </c>
      <c r="Q34">
        <f t="shared" si="23"/>
        <v>31611.01</v>
      </c>
      <c r="R34">
        <f t="shared" si="24"/>
        <v>11602.89</v>
      </c>
      <c r="S34">
        <f t="shared" si="25"/>
        <v>2800.67</v>
      </c>
      <c r="T34">
        <f t="shared" si="26"/>
        <v>0</v>
      </c>
      <c r="U34">
        <f t="shared" si="27"/>
        <v>18.133199999999999</v>
      </c>
      <c r="V34">
        <f t="shared" si="28"/>
        <v>0</v>
      </c>
      <c r="W34">
        <f t="shared" si="29"/>
        <v>0</v>
      </c>
      <c r="X34">
        <f t="shared" si="30"/>
        <v>1960.47</v>
      </c>
      <c r="Y34">
        <f t="shared" si="30"/>
        <v>280.07</v>
      </c>
      <c r="AA34">
        <v>37598633</v>
      </c>
      <c r="AB34">
        <f t="shared" si="31"/>
        <v>288124.17</v>
      </c>
      <c r="AC34">
        <f t="shared" si="32"/>
        <v>240984.87</v>
      </c>
      <c r="AD34">
        <f>ROUND((((ET34)-(EU34))+AE34),6)</f>
        <v>43302.76</v>
      </c>
      <c r="AE34">
        <f t="shared" si="50"/>
        <v>15894.37</v>
      </c>
      <c r="AF34">
        <f t="shared" si="50"/>
        <v>3836.54</v>
      </c>
      <c r="AG34">
        <f t="shared" si="34"/>
        <v>0</v>
      </c>
      <c r="AH34">
        <f t="shared" si="51"/>
        <v>24.84</v>
      </c>
      <c r="AI34">
        <f t="shared" si="51"/>
        <v>0</v>
      </c>
      <c r="AJ34">
        <f t="shared" si="36"/>
        <v>0</v>
      </c>
      <c r="AK34">
        <v>288124.17</v>
      </c>
      <c r="AL34">
        <v>240984.87</v>
      </c>
      <c r="AM34">
        <v>43302.76</v>
      </c>
      <c r="AN34">
        <v>15894.37</v>
      </c>
      <c r="AO34">
        <v>3836.54</v>
      </c>
      <c r="AP34">
        <v>0</v>
      </c>
      <c r="AQ34">
        <v>24.84</v>
      </c>
      <c r="AR34">
        <v>0</v>
      </c>
      <c r="AS34">
        <v>0</v>
      </c>
      <c r="AT34">
        <v>70</v>
      </c>
      <c r="AU34">
        <v>10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1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4</v>
      </c>
      <c r="BJ34" t="s">
        <v>48</v>
      </c>
      <c r="BM34">
        <v>0</v>
      </c>
      <c r="BN34">
        <v>0</v>
      </c>
      <c r="BO34" t="s">
        <v>3</v>
      </c>
      <c r="BP34">
        <v>0</v>
      </c>
      <c r="BQ34">
        <v>1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70</v>
      </c>
      <c r="CA34">
        <v>10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37"/>
        <v>210330.64</v>
      </c>
      <c r="CQ34">
        <f t="shared" si="38"/>
        <v>240984.87</v>
      </c>
      <c r="CR34">
        <f>((((ET34)*BB34-(EU34)*BS34)+AE34*BS34)*AV34)</f>
        <v>43302.76</v>
      </c>
      <c r="CS34">
        <f t="shared" si="39"/>
        <v>15894.37</v>
      </c>
      <c r="CT34">
        <f t="shared" si="40"/>
        <v>3836.54</v>
      </c>
      <c r="CU34">
        <f t="shared" si="41"/>
        <v>0</v>
      </c>
      <c r="CV34">
        <f t="shared" si="42"/>
        <v>24.84</v>
      </c>
      <c r="CW34">
        <f t="shared" si="43"/>
        <v>0</v>
      </c>
      <c r="CX34">
        <f t="shared" si="43"/>
        <v>0</v>
      </c>
      <c r="CY34">
        <f t="shared" si="44"/>
        <v>1960.4690000000001</v>
      </c>
      <c r="CZ34">
        <f t="shared" si="45"/>
        <v>280.06700000000001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0</v>
      </c>
      <c r="DO34">
        <v>0</v>
      </c>
      <c r="DP34">
        <v>1</v>
      </c>
      <c r="DQ34">
        <v>1</v>
      </c>
      <c r="DU34">
        <v>1007</v>
      </c>
      <c r="DV34" t="s">
        <v>17</v>
      </c>
      <c r="DW34" t="s">
        <v>17</v>
      </c>
      <c r="DX34">
        <v>100</v>
      </c>
      <c r="EE34">
        <v>34176748</v>
      </c>
      <c r="EF34">
        <v>1</v>
      </c>
      <c r="EG34" t="s">
        <v>19</v>
      </c>
      <c r="EH34">
        <v>0</v>
      </c>
      <c r="EI34" t="s">
        <v>3</v>
      </c>
      <c r="EJ34">
        <v>4</v>
      </c>
      <c r="EK34">
        <v>0</v>
      </c>
      <c r="EL34" t="s">
        <v>20</v>
      </c>
      <c r="EM34" t="s">
        <v>21</v>
      </c>
      <c r="EO34" t="s">
        <v>3</v>
      </c>
      <c r="EQ34">
        <v>0</v>
      </c>
      <c r="ER34">
        <v>288124.17</v>
      </c>
      <c r="ES34">
        <v>240984.87</v>
      </c>
      <c r="ET34">
        <v>43302.76</v>
      </c>
      <c r="EU34">
        <v>15894.37</v>
      </c>
      <c r="EV34">
        <v>3836.54</v>
      </c>
      <c r="EW34">
        <v>24.84</v>
      </c>
      <c r="EX34">
        <v>0</v>
      </c>
      <c r="EY34">
        <v>0</v>
      </c>
      <c r="FQ34">
        <v>0</v>
      </c>
      <c r="FR34">
        <f t="shared" si="46"/>
        <v>0</v>
      </c>
      <c r="FS34">
        <v>0</v>
      </c>
      <c r="FX34">
        <v>70</v>
      </c>
      <c r="FY34">
        <v>10</v>
      </c>
      <c r="GA34" t="s">
        <v>3</v>
      </c>
      <c r="GD34">
        <v>0</v>
      </c>
      <c r="GF34">
        <v>-2078164180</v>
      </c>
      <c r="GG34">
        <v>2</v>
      </c>
      <c r="GH34">
        <v>1</v>
      </c>
      <c r="GI34">
        <v>-2</v>
      </c>
      <c r="GJ34">
        <v>0</v>
      </c>
      <c r="GK34">
        <f>ROUND(R34*(R12)/100,2)</f>
        <v>12531.12</v>
      </c>
      <c r="GL34">
        <f t="shared" si="47"/>
        <v>0</v>
      </c>
      <c r="GM34">
        <f>ROUND(O34+X34+Y34+GK34,2)+GX34</f>
        <v>225102.3</v>
      </c>
      <c r="GN34">
        <f>IF(OR(BI34=0,BI34=1),ROUND(O34+X34+Y34+GK34,2),0)</f>
        <v>0</v>
      </c>
      <c r="GO34">
        <f>IF(BI34=2,ROUND(O34+X34+Y34+GK34,2),0)</f>
        <v>0</v>
      </c>
      <c r="GP34">
        <f>IF(BI34=4,ROUND(O34+X34+Y34+GK34,2)+GX34,0)</f>
        <v>225102.3</v>
      </c>
      <c r="GR34">
        <v>0</v>
      </c>
      <c r="GS34">
        <v>3</v>
      </c>
      <c r="GT34">
        <v>0</v>
      </c>
      <c r="GU34" t="s">
        <v>3</v>
      </c>
      <c r="GV34">
        <f t="shared" si="48"/>
        <v>0</v>
      </c>
      <c r="GW34">
        <v>1</v>
      </c>
      <c r="GX34">
        <f t="shared" si="49"/>
        <v>0</v>
      </c>
      <c r="HA34">
        <v>0</v>
      </c>
      <c r="HB34">
        <v>0</v>
      </c>
      <c r="IK34">
        <v>0</v>
      </c>
    </row>
    <row r="35" spans="1:245" x14ac:dyDescent="0.2">
      <c r="A35">
        <v>17</v>
      </c>
      <c r="B35">
        <v>1</v>
      </c>
      <c r="C35">
        <f>ROW(SmtRes!A33)</f>
        <v>33</v>
      </c>
      <c r="D35">
        <f>ROW(EtalonRes!A33)</f>
        <v>33</v>
      </c>
      <c r="E35" t="s">
        <v>49</v>
      </c>
      <c r="F35" t="s">
        <v>50</v>
      </c>
      <c r="G35" t="s">
        <v>51</v>
      </c>
      <c r="H35" t="s">
        <v>52</v>
      </c>
      <c r="I35">
        <v>7.3</v>
      </c>
      <c r="J35">
        <v>0</v>
      </c>
      <c r="O35">
        <f t="shared" si="21"/>
        <v>230179.05</v>
      </c>
      <c r="P35">
        <f t="shared" si="22"/>
        <v>202323.42</v>
      </c>
      <c r="Q35">
        <f t="shared" si="23"/>
        <v>9019.15</v>
      </c>
      <c r="R35">
        <f t="shared" si="24"/>
        <v>5224.83</v>
      </c>
      <c r="S35">
        <f t="shared" si="25"/>
        <v>18836.48</v>
      </c>
      <c r="T35">
        <f t="shared" si="26"/>
        <v>0</v>
      </c>
      <c r="U35">
        <f t="shared" si="27"/>
        <v>99.060999999999993</v>
      </c>
      <c r="V35">
        <f t="shared" si="28"/>
        <v>0</v>
      </c>
      <c r="W35">
        <f t="shared" si="29"/>
        <v>0</v>
      </c>
      <c r="X35">
        <f t="shared" si="30"/>
        <v>13185.54</v>
      </c>
      <c r="Y35">
        <f t="shared" si="30"/>
        <v>1883.65</v>
      </c>
      <c r="AA35">
        <v>37598633</v>
      </c>
      <c r="AB35">
        <f t="shared" si="31"/>
        <v>31531.377499999999</v>
      </c>
      <c r="AC35">
        <f>ROUND((((ES35/4)*5)),6)</f>
        <v>27715.537499999999</v>
      </c>
      <c r="AD35">
        <f>ROUND((((ET35)-(EU35))+AE35),6)</f>
        <v>1235.5</v>
      </c>
      <c r="AE35">
        <f t="shared" si="50"/>
        <v>715.73</v>
      </c>
      <c r="AF35">
        <f t="shared" si="50"/>
        <v>2580.34</v>
      </c>
      <c r="AG35">
        <f t="shared" si="34"/>
        <v>0</v>
      </c>
      <c r="AH35">
        <f t="shared" si="51"/>
        <v>13.57</v>
      </c>
      <c r="AI35">
        <f t="shared" si="51"/>
        <v>0</v>
      </c>
      <c r="AJ35">
        <f t="shared" si="36"/>
        <v>0</v>
      </c>
      <c r="AK35">
        <v>25988.27</v>
      </c>
      <c r="AL35">
        <v>22172.43</v>
      </c>
      <c r="AM35">
        <v>1235.5</v>
      </c>
      <c r="AN35">
        <v>715.73</v>
      </c>
      <c r="AO35">
        <v>2580.34</v>
      </c>
      <c r="AP35">
        <v>0</v>
      </c>
      <c r="AQ35">
        <v>13.57</v>
      </c>
      <c r="AR35">
        <v>0</v>
      </c>
      <c r="AS35">
        <v>0</v>
      </c>
      <c r="AT35">
        <v>70</v>
      </c>
      <c r="AU35">
        <v>10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1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4</v>
      </c>
      <c r="BJ35" t="s">
        <v>53</v>
      </c>
      <c r="BM35">
        <v>0</v>
      </c>
      <c r="BN35">
        <v>0</v>
      </c>
      <c r="BO35" t="s">
        <v>3</v>
      </c>
      <c r="BP35">
        <v>0</v>
      </c>
      <c r="BQ35">
        <v>1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70</v>
      </c>
      <c r="CA35">
        <v>10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7"/>
        <v>230179.05000000002</v>
      </c>
      <c r="CQ35">
        <f t="shared" si="38"/>
        <v>27715.537499999999</v>
      </c>
      <c r="CR35">
        <f>((((ET35)*BB35-(EU35)*BS35)+AE35*BS35)*AV35)</f>
        <v>1235.5</v>
      </c>
      <c r="CS35">
        <f t="shared" si="39"/>
        <v>715.73</v>
      </c>
      <c r="CT35">
        <f t="shared" si="40"/>
        <v>2580.34</v>
      </c>
      <c r="CU35">
        <f t="shared" si="41"/>
        <v>0</v>
      </c>
      <c r="CV35">
        <f t="shared" si="42"/>
        <v>13.57</v>
      </c>
      <c r="CW35">
        <f t="shared" si="43"/>
        <v>0</v>
      </c>
      <c r="CX35">
        <f t="shared" si="43"/>
        <v>0</v>
      </c>
      <c r="CY35">
        <f t="shared" si="44"/>
        <v>13185.535999999998</v>
      </c>
      <c r="CZ35">
        <f t="shared" si="45"/>
        <v>1883.6479999999999</v>
      </c>
      <c r="DC35" t="s">
        <v>3</v>
      </c>
      <c r="DD35" t="s">
        <v>54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1005</v>
      </c>
      <c r="DV35" t="s">
        <v>52</v>
      </c>
      <c r="DW35" t="s">
        <v>52</v>
      </c>
      <c r="DX35">
        <v>100</v>
      </c>
      <c r="EE35">
        <v>34176748</v>
      </c>
      <c r="EF35">
        <v>1</v>
      </c>
      <c r="EG35" t="s">
        <v>19</v>
      </c>
      <c r="EH35">
        <v>0</v>
      </c>
      <c r="EI35" t="s">
        <v>3</v>
      </c>
      <c r="EJ35">
        <v>4</v>
      </c>
      <c r="EK35">
        <v>0</v>
      </c>
      <c r="EL35" t="s">
        <v>20</v>
      </c>
      <c r="EM35" t="s">
        <v>21</v>
      </c>
      <c r="EO35" t="s">
        <v>3</v>
      </c>
      <c r="EQ35">
        <v>0</v>
      </c>
      <c r="ER35">
        <v>25988.27</v>
      </c>
      <c r="ES35">
        <v>22172.43</v>
      </c>
      <c r="ET35">
        <v>1235.5</v>
      </c>
      <c r="EU35">
        <v>715.73</v>
      </c>
      <c r="EV35">
        <v>2580.34</v>
      </c>
      <c r="EW35">
        <v>13.57</v>
      </c>
      <c r="EX35">
        <v>0</v>
      </c>
      <c r="EY35">
        <v>0</v>
      </c>
      <c r="FQ35">
        <v>0</v>
      </c>
      <c r="FR35">
        <f t="shared" si="46"/>
        <v>0</v>
      </c>
      <c r="FS35">
        <v>0</v>
      </c>
      <c r="FX35">
        <v>70</v>
      </c>
      <c r="FY35">
        <v>10</v>
      </c>
      <c r="GA35" t="s">
        <v>3</v>
      </c>
      <c r="GD35">
        <v>0</v>
      </c>
      <c r="GF35">
        <v>-1378615970</v>
      </c>
      <c r="GG35">
        <v>2</v>
      </c>
      <c r="GH35">
        <v>1</v>
      </c>
      <c r="GI35">
        <v>-2</v>
      </c>
      <c r="GJ35">
        <v>0</v>
      </c>
      <c r="GK35">
        <f>ROUND(R35*(R12)/100,2)</f>
        <v>5642.82</v>
      </c>
      <c r="GL35">
        <f t="shared" si="47"/>
        <v>0</v>
      </c>
      <c r="GM35">
        <f>ROUND(O35+X35+Y35+GK35,2)+GX35</f>
        <v>250891.06</v>
      </c>
      <c r="GN35">
        <f>IF(OR(BI35=0,BI35=1),ROUND(O35+X35+Y35+GK35,2),0)</f>
        <v>0</v>
      </c>
      <c r="GO35">
        <f>IF(BI35=2,ROUND(O35+X35+Y35+GK35,2),0)</f>
        <v>0</v>
      </c>
      <c r="GP35">
        <f>IF(BI35=4,ROUND(O35+X35+Y35+GK35,2)+GX35,0)</f>
        <v>250891.06</v>
      </c>
      <c r="GR35">
        <v>0</v>
      </c>
      <c r="GS35">
        <v>3</v>
      </c>
      <c r="GT35">
        <v>0</v>
      </c>
      <c r="GU35" t="s">
        <v>3</v>
      </c>
      <c r="GV35">
        <f t="shared" si="48"/>
        <v>0</v>
      </c>
      <c r="GW35">
        <v>1</v>
      </c>
      <c r="GX35">
        <f t="shared" si="49"/>
        <v>0</v>
      </c>
      <c r="HA35">
        <v>0</v>
      </c>
      <c r="HB35">
        <v>0</v>
      </c>
      <c r="IK35">
        <v>0</v>
      </c>
    </row>
    <row r="37" spans="1:245" x14ac:dyDescent="0.2">
      <c r="A37" s="2">
        <v>51</v>
      </c>
      <c r="B37" s="2">
        <f>B24</f>
        <v>1</v>
      </c>
      <c r="C37" s="2">
        <f>A24</f>
        <v>4</v>
      </c>
      <c r="D37" s="2">
        <f>ROW(A24)</f>
        <v>24</v>
      </c>
      <c r="E37" s="2"/>
      <c r="F37" s="2" t="str">
        <f>IF(F24&lt;&gt;"",F24,"")</f>
        <v>Новый раздел</v>
      </c>
      <c r="G37" s="2" t="str">
        <f>IF(G24&lt;&gt;"",G24,"")</f>
        <v>Ремонт асфальтобетонного покрытия - 730м2</v>
      </c>
      <c r="H37" s="2">
        <v>0</v>
      </c>
      <c r="I37" s="2"/>
      <c r="J37" s="2"/>
      <c r="K37" s="2"/>
      <c r="L37" s="2"/>
      <c r="M37" s="2"/>
      <c r="N37" s="2"/>
      <c r="O37" s="2">
        <f t="shared" ref="O37:T37" si="52">ROUND(AB37,2)</f>
        <v>656925.22</v>
      </c>
      <c r="P37" s="2">
        <f t="shared" si="52"/>
        <v>423253.56</v>
      </c>
      <c r="Q37" s="2">
        <f t="shared" si="52"/>
        <v>198748.74</v>
      </c>
      <c r="R37" s="2">
        <f t="shared" si="52"/>
        <v>125997.86</v>
      </c>
      <c r="S37" s="2">
        <f t="shared" si="52"/>
        <v>34922.92</v>
      </c>
      <c r="T37" s="2">
        <f t="shared" si="52"/>
        <v>0</v>
      </c>
      <c r="U37" s="2">
        <f>AH37</f>
        <v>207.2105</v>
      </c>
      <c r="V37" s="2">
        <f>AI37</f>
        <v>0</v>
      </c>
      <c r="W37" s="2">
        <f>ROUND(AJ37,2)</f>
        <v>0</v>
      </c>
      <c r="X37" s="2">
        <f>ROUND(AK37,2)</f>
        <v>24446.05</v>
      </c>
      <c r="Y37" s="2">
        <f>ROUND(AL37,2)</f>
        <v>3492.3</v>
      </c>
      <c r="Z37" s="2"/>
      <c r="AA37" s="2"/>
      <c r="AB37" s="2">
        <f>ROUND(SUMIF(AA28:AA35,"=37598633",O28:O35),2)</f>
        <v>656925.22</v>
      </c>
      <c r="AC37" s="2">
        <f>ROUND(SUMIF(AA28:AA35,"=37598633",P28:P35),2)</f>
        <v>423253.56</v>
      </c>
      <c r="AD37" s="2">
        <f>ROUND(SUMIF(AA28:AA35,"=37598633",Q28:Q35),2)</f>
        <v>198748.74</v>
      </c>
      <c r="AE37" s="2">
        <f>ROUND(SUMIF(AA28:AA35,"=37598633",R28:R35),2)</f>
        <v>125997.86</v>
      </c>
      <c r="AF37" s="2">
        <f>ROUND(SUMIF(AA28:AA35,"=37598633",S28:S35),2)</f>
        <v>34922.92</v>
      </c>
      <c r="AG37" s="2">
        <f>ROUND(SUMIF(AA28:AA35,"=37598633",T28:T35),2)</f>
        <v>0</v>
      </c>
      <c r="AH37" s="2">
        <f>SUMIF(AA28:AA35,"=37598633",U28:U35)</f>
        <v>207.2105</v>
      </c>
      <c r="AI37" s="2">
        <f>SUMIF(AA28:AA35,"=37598633",V28:V35)</f>
        <v>0</v>
      </c>
      <c r="AJ37" s="2">
        <f>ROUND(SUMIF(AA28:AA35,"=37598633",W28:W35),2)</f>
        <v>0</v>
      </c>
      <c r="AK37" s="2">
        <f>ROUND(SUMIF(AA28:AA35,"=37598633",X28:X35),2)</f>
        <v>24446.05</v>
      </c>
      <c r="AL37" s="2">
        <f>ROUND(SUMIF(AA28:AA35,"=37598633",Y28:Y35),2)</f>
        <v>3492.3</v>
      </c>
      <c r="AM37" s="2"/>
      <c r="AN37" s="2"/>
      <c r="AO37" s="2">
        <f t="shared" ref="AO37:BC37" si="53">ROUND(BX37,2)</f>
        <v>0</v>
      </c>
      <c r="AP37" s="2">
        <f t="shared" si="53"/>
        <v>0</v>
      </c>
      <c r="AQ37" s="2">
        <f t="shared" si="53"/>
        <v>0</v>
      </c>
      <c r="AR37" s="2">
        <f t="shared" si="53"/>
        <v>717346.27</v>
      </c>
      <c r="AS37" s="2">
        <f t="shared" si="53"/>
        <v>0</v>
      </c>
      <c r="AT37" s="2">
        <f t="shared" si="53"/>
        <v>0</v>
      </c>
      <c r="AU37" s="2">
        <f t="shared" si="53"/>
        <v>717346.27</v>
      </c>
      <c r="AV37" s="2">
        <f t="shared" si="53"/>
        <v>423253.56</v>
      </c>
      <c r="AW37" s="2">
        <f t="shared" si="53"/>
        <v>423253.56</v>
      </c>
      <c r="AX37" s="2">
        <f t="shared" si="53"/>
        <v>0</v>
      </c>
      <c r="AY37" s="2">
        <f t="shared" si="53"/>
        <v>423253.56</v>
      </c>
      <c r="AZ37" s="2">
        <f t="shared" si="53"/>
        <v>0</v>
      </c>
      <c r="BA37" s="2">
        <f t="shared" si="53"/>
        <v>0</v>
      </c>
      <c r="BB37" s="2">
        <f t="shared" si="53"/>
        <v>0</v>
      </c>
      <c r="BC37" s="2">
        <f t="shared" si="53"/>
        <v>0</v>
      </c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>
        <f>ROUND(SUMIF(AA28:AA35,"=37598633",FQ28:FQ35),2)</f>
        <v>0</v>
      </c>
      <c r="BY37" s="2">
        <f>ROUND(SUMIF(AA28:AA35,"=37598633",FR28:FR35),2)</f>
        <v>0</v>
      </c>
      <c r="BZ37" s="2">
        <f>ROUND(SUMIF(AA28:AA35,"=37598633",GL28:GL35),2)</f>
        <v>0</v>
      </c>
      <c r="CA37" s="2">
        <f>ROUND(SUMIF(AA28:AA35,"=37598633",GM28:GM35),2)</f>
        <v>717346.27</v>
      </c>
      <c r="CB37" s="2">
        <f>ROUND(SUMIF(AA28:AA35,"=37598633",GN28:GN35),2)</f>
        <v>0</v>
      </c>
      <c r="CC37" s="2">
        <f>ROUND(SUMIF(AA28:AA35,"=37598633",GO28:GO35),2)</f>
        <v>0</v>
      </c>
      <c r="CD37" s="2">
        <f>ROUND(SUMIF(AA28:AA35,"=37598633",GP28:GP35),2)</f>
        <v>717346.27</v>
      </c>
      <c r="CE37" s="2">
        <f>AC37-BX37</f>
        <v>423253.56</v>
      </c>
      <c r="CF37" s="2">
        <f>AC37-BY37</f>
        <v>423253.56</v>
      </c>
      <c r="CG37" s="2">
        <f>BX37-BZ37</f>
        <v>0</v>
      </c>
      <c r="CH37" s="2">
        <f>AC37-BX37-BY37+BZ37</f>
        <v>423253.56</v>
      </c>
      <c r="CI37" s="2">
        <f>BY37-BZ37</f>
        <v>0</v>
      </c>
      <c r="CJ37" s="2">
        <f>ROUND(SUMIF(AA28:AA35,"=37598633",GX28:GX35),2)</f>
        <v>0</v>
      </c>
      <c r="CK37" s="2">
        <f>ROUND(SUMIF(AA28:AA35,"=37598633",GY28:GY35),2)</f>
        <v>0</v>
      </c>
      <c r="CL37" s="2">
        <f>ROUND(SUMIF(AA28:AA35,"=37598633",GZ28:GZ35),2)</f>
        <v>0</v>
      </c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>
        <v>0</v>
      </c>
    </row>
    <row r="39" spans="1:245" x14ac:dyDescent="0.2">
      <c r="A39" s="4">
        <v>50</v>
      </c>
      <c r="B39" s="4">
        <v>0</v>
      </c>
      <c r="C39" s="4">
        <v>0</v>
      </c>
      <c r="D39" s="4">
        <v>1</v>
      </c>
      <c r="E39" s="4">
        <v>201</v>
      </c>
      <c r="F39" s="4">
        <f>ROUND(Source!O37,O39)</f>
        <v>656925.22</v>
      </c>
      <c r="G39" s="4" t="s">
        <v>55</v>
      </c>
      <c r="H39" s="4" t="s">
        <v>56</v>
      </c>
      <c r="I39" s="4"/>
      <c r="J39" s="4"/>
      <c r="K39" s="4">
        <v>-201</v>
      </c>
      <c r="L39" s="4">
        <v>1</v>
      </c>
      <c r="M39" s="4">
        <v>3</v>
      </c>
      <c r="N39" s="4" t="s">
        <v>3</v>
      </c>
      <c r="O39" s="4">
        <v>2</v>
      </c>
      <c r="P39" s="4"/>
      <c r="Q39" s="4"/>
      <c r="R39" s="4"/>
      <c r="S39" s="4"/>
      <c r="T39" s="4"/>
      <c r="U39" s="4"/>
      <c r="V39" s="4"/>
      <c r="W39" s="4"/>
    </row>
    <row r="40" spans="1:245" x14ac:dyDescent="0.2">
      <c r="A40" s="4">
        <v>50</v>
      </c>
      <c r="B40" s="4">
        <v>0</v>
      </c>
      <c r="C40" s="4">
        <v>0</v>
      </c>
      <c r="D40" s="4">
        <v>1</v>
      </c>
      <c r="E40" s="4">
        <v>202</v>
      </c>
      <c r="F40" s="4">
        <f>ROUND(Source!P37,O40)</f>
        <v>423253.56</v>
      </c>
      <c r="G40" s="4" t="s">
        <v>57</v>
      </c>
      <c r="H40" s="4" t="s">
        <v>58</v>
      </c>
      <c r="I40" s="4"/>
      <c r="J40" s="4"/>
      <c r="K40" s="4">
        <v>-202</v>
      </c>
      <c r="L40" s="4">
        <v>2</v>
      </c>
      <c r="M40" s="4">
        <v>3</v>
      </c>
      <c r="N40" s="4" t="s">
        <v>3</v>
      </c>
      <c r="O40" s="4">
        <v>2</v>
      </c>
      <c r="P40" s="4"/>
      <c r="Q40" s="4"/>
      <c r="R40" s="4"/>
      <c r="S40" s="4"/>
      <c r="T40" s="4"/>
      <c r="U40" s="4"/>
      <c r="V40" s="4"/>
      <c r="W40" s="4"/>
    </row>
    <row r="41" spans="1:245" x14ac:dyDescent="0.2">
      <c r="A41" s="4">
        <v>50</v>
      </c>
      <c r="B41" s="4">
        <v>0</v>
      </c>
      <c r="C41" s="4">
        <v>0</v>
      </c>
      <c r="D41" s="4">
        <v>1</v>
      </c>
      <c r="E41" s="4">
        <v>222</v>
      </c>
      <c r="F41" s="4">
        <f>ROUND(Source!AO37,O41)</f>
        <v>0</v>
      </c>
      <c r="G41" s="4" t="s">
        <v>59</v>
      </c>
      <c r="H41" s="4" t="s">
        <v>60</v>
      </c>
      <c r="I41" s="4"/>
      <c r="J41" s="4"/>
      <c r="K41" s="4">
        <v>-222</v>
      </c>
      <c r="L41" s="4">
        <v>3</v>
      </c>
      <c r="M41" s="4">
        <v>3</v>
      </c>
      <c r="N41" s="4" t="s">
        <v>3</v>
      </c>
      <c r="O41" s="4">
        <v>2</v>
      </c>
      <c r="P41" s="4"/>
      <c r="Q41" s="4"/>
      <c r="R41" s="4"/>
      <c r="S41" s="4"/>
      <c r="T41" s="4"/>
      <c r="U41" s="4"/>
      <c r="V41" s="4"/>
      <c r="W41" s="4"/>
    </row>
    <row r="42" spans="1:245" x14ac:dyDescent="0.2">
      <c r="A42" s="4">
        <v>50</v>
      </c>
      <c r="B42" s="4">
        <v>0</v>
      </c>
      <c r="C42" s="4">
        <v>0</v>
      </c>
      <c r="D42" s="4">
        <v>1</v>
      </c>
      <c r="E42" s="4">
        <v>225</v>
      </c>
      <c r="F42" s="4">
        <f>ROUND(Source!AV37,O42)</f>
        <v>423253.56</v>
      </c>
      <c r="G42" s="4" t="s">
        <v>61</v>
      </c>
      <c r="H42" s="4" t="s">
        <v>62</v>
      </c>
      <c r="I42" s="4"/>
      <c r="J42" s="4"/>
      <c r="K42" s="4">
        <v>-225</v>
      </c>
      <c r="L42" s="4">
        <v>4</v>
      </c>
      <c r="M42" s="4">
        <v>3</v>
      </c>
      <c r="N42" s="4" t="s">
        <v>3</v>
      </c>
      <c r="O42" s="4">
        <v>2</v>
      </c>
      <c r="P42" s="4"/>
      <c r="Q42" s="4"/>
      <c r="R42" s="4"/>
      <c r="S42" s="4"/>
      <c r="T42" s="4"/>
      <c r="U42" s="4"/>
      <c r="V42" s="4"/>
      <c r="W42" s="4"/>
    </row>
    <row r="43" spans="1:245" x14ac:dyDescent="0.2">
      <c r="A43" s="4">
        <v>50</v>
      </c>
      <c r="B43" s="4">
        <v>0</v>
      </c>
      <c r="C43" s="4">
        <v>0</v>
      </c>
      <c r="D43" s="4">
        <v>1</v>
      </c>
      <c r="E43" s="4">
        <v>226</v>
      </c>
      <c r="F43" s="4">
        <f>ROUND(Source!AW37,O43)</f>
        <v>423253.56</v>
      </c>
      <c r="G43" s="4" t="s">
        <v>63</v>
      </c>
      <c r="H43" s="4" t="s">
        <v>64</v>
      </c>
      <c r="I43" s="4"/>
      <c r="J43" s="4"/>
      <c r="K43" s="4">
        <v>-226</v>
      </c>
      <c r="L43" s="4">
        <v>5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/>
    </row>
    <row r="44" spans="1:245" x14ac:dyDescent="0.2">
      <c r="A44" s="4">
        <v>50</v>
      </c>
      <c r="B44" s="4">
        <v>0</v>
      </c>
      <c r="C44" s="4">
        <v>0</v>
      </c>
      <c r="D44" s="4">
        <v>1</v>
      </c>
      <c r="E44" s="4">
        <v>227</v>
      </c>
      <c r="F44" s="4">
        <f>ROUND(Source!AX37,O44)</f>
        <v>0</v>
      </c>
      <c r="G44" s="4" t="s">
        <v>65</v>
      </c>
      <c r="H44" s="4" t="s">
        <v>66</v>
      </c>
      <c r="I44" s="4"/>
      <c r="J44" s="4"/>
      <c r="K44" s="4">
        <v>-227</v>
      </c>
      <c r="L44" s="4">
        <v>6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45" x14ac:dyDescent="0.2">
      <c r="A45" s="4">
        <v>50</v>
      </c>
      <c r="B45" s="4">
        <v>0</v>
      </c>
      <c r="C45" s="4">
        <v>0</v>
      </c>
      <c r="D45" s="4">
        <v>1</v>
      </c>
      <c r="E45" s="4">
        <v>228</v>
      </c>
      <c r="F45" s="4">
        <f>ROUND(Source!AY37,O45)</f>
        <v>423253.56</v>
      </c>
      <c r="G45" s="4" t="s">
        <v>67</v>
      </c>
      <c r="H45" s="4" t="s">
        <v>68</v>
      </c>
      <c r="I45" s="4"/>
      <c r="J45" s="4"/>
      <c r="K45" s="4">
        <v>-228</v>
      </c>
      <c r="L45" s="4">
        <v>7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45" x14ac:dyDescent="0.2">
      <c r="A46" s="4">
        <v>50</v>
      </c>
      <c r="B46" s="4">
        <v>0</v>
      </c>
      <c r="C46" s="4">
        <v>0</v>
      </c>
      <c r="D46" s="4">
        <v>1</v>
      </c>
      <c r="E46" s="4">
        <v>216</v>
      </c>
      <c r="F46" s="4">
        <f>ROUND(Source!AP37,O46)</f>
        <v>0</v>
      </c>
      <c r="G46" s="4" t="s">
        <v>69</v>
      </c>
      <c r="H46" s="4" t="s">
        <v>70</v>
      </c>
      <c r="I46" s="4"/>
      <c r="J46" s="4"/>
      <c r="K46" s="4">
        <v>-216</v>
      </c>
      <c r="L46" s="4">
        <v>8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45" x14ac:dyDescent="0.2">
      <c r="A47" s="4">
        <v>50</v>
      </c>
      <c r="B47" s="4">
        <v>0</v>
      </c>
      <c r="C47" s="4">
        <v>0</v>
      </c>
      <c r="D47" s="4">
        <v>1</v>
      </c>
      <c r="E47" s="4">
        <v>223</v>
      </c>
      <c r="F47" s="4">
        <f>ROUND(Source!AQ37,O47)</f>
        <v>0</v>
      </c>
      <c r="G47" s="4" t="s">
        <v>71</v>
      </c>
      <c r="H47" s="4" t="s">
        <v>72</v>
      </c>
      <c r="I47" s="4"/>
      <c r="J47" s="4"/>
      <c r="K47" s="4">
        <v>-223</v>
      </c>
      <c r="L47" s="4">
        <v>9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 x14ac:dyDescent="0.2">
      <c r="A48" s="4">
        <v>50</v>
      </c>
      <c r="B48" s="4">
        <v>0</v>
      </c>
      <c r="C48" s="4">
        <v>0</v>
      </c>
      <c r="D48" s="4">
        <v>1</v>
      </c>
      <c r="E48" s="4">
        <v>229</v>
      </c>
      <c r="F48" s="4">
        <f>ROUND(Source!AZ37,O48)</f>
        <v>0</v>
      </c>
      <c r="G48" s="4" t="s">
        <v>73</v>
      </c>
      <c r="H48" s="4" t="s">
        <v>74</v>
      </c>
      <c r="I48" s="4"/>
      <c r="J48" s="4"/>
      <c r="K48" s="4">
        <v>-229</v>
      </c>
      <c r="L48" s="4">
        <v>10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 x14ac:dyDescent="0.2">
      <c r="A49" s="4">
        <v>50</v>
      </c>
      <c r="B49" s="4">
        <v>0</v>
      </c>
      <c r="C49" s="4">
        <v>0</v>
      </c>
      <c r="D49" s="4">
        <v>1</v>
      </c>
      <c r="E49" s="4">
        <v>203</v>
      </c>
      <c r="F49" s="4">
        <f>ROUND(Source!Q37,O49)</f>
        <v>198748.74</v>
      </c>
      <c r="G49" s="4" t="s">
        <v>75</v>
      </c>
      <c r="H49" s="4" t="s">
        <v>76</v>
      </c>
      <c r="I49" s="4"/>
      <c r="J49" s="4"/>
      <c r="K49" s="4">
        <v>-203</v>
      </c>
      <c r="L49" s="4">
        <v>11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 x14ac:dyDescent="0.2">
      <c r="A50" s="4">
        <v>50</v>
      </c>
      <c r="B50" s="4">
        <v>0</v>
      </c>
      <c r="C50" s="4">
        <v>0</v>
      </c>
      <c r="D50" s="4">
        <v>1</v>
      </c>
      <c r="E50" s="4">
        <v>231</v>
      </c>
      <c r="F50" s="4">
        <f>ROUND(Source!BB37,O50)</f>
        <v>0</v>
      </c>
      <c r="G50" s="4" t="s">
        <v>77</v>
      </c>
      <c r="H50" s="4" t="s">
        <v>78</v>
      </c>
      <c r="I50" s="4"/>
      <c r="J50" s="4"/>
      <c r="K50" s="4">
        <v>-231</v>
      </c>
      <c r="L50" s="4">
        <v>12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 x14ac:dyDescent="0.2">
      <c r="A51" s="4">
        <v>50</v>
      </c>
      <c r="B51" s="4">
        <v>0</v>
      </c>
      <c r="C51" s="4">
        <v>0</v>
      </c>
      <c r="D51" s="4">
        <v>1</v>
      </c>
      <c r="E51" s="4">
        <v>204</v>
      </c>
      <c r="F51" s="4">
        <f>ROUND(Source!R37,O51)</f>
        <v>125997.86</v>
      </c>
      <c r="G51" s="4" t="s">
        <v>79</v>
      </c>
      <c r="H51" s="4" t="s">
        <v>80</v>
      </c>
      <c r="I51" s="4"/>
      <c r="J51" s="4"/>
      <c r="K51" s="4">
        <v>-204</v>
      </c>
      <c r="L51" s="4">
        <v>13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 x14ac:dyDescent="0.2">
      <c r="A52" s="4">
        <v>50</v>
      </c>
      <c r="B52" s="4">
        <v>0</v>
      </c>
      <c r="C52" s="4">
        <v>0</v>
      </c>
      <c r="D52" s="4">
        <v>1</v>
      </c>
      <c r="E52" s="4">
        <v>205</v>
      </c>
      <c r="F52" s="4">
        <f>ROUND(Source!S37,O52)</f>
        <v>34922.92</v>
      </c>
      <c r="G52" s="4" t="s">
        <v>81</v>
      </c>
      <c r="H52" s="4" t="s">
        <v>82</v>
      </c>
      <c r="I52" s="4"/>
      <c r="J52" s="4"/>
      <c r="K52" s="4">
        <v>-205</v>
      </c>
      <c r="L52" s="4">
        <v>14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 x14ac:dyDescent="0.2">
      <c r="A53" s="4">
        <v>50</v>
      </c>
      <c r="B53" s="4">
        <v>0</v>
      </c>
      <c r="C53" s="4">
        <v>0</v>
      </c>
      <c r="D53" s="4">
        <v>1</v>
      </c>
      <c r="E53" s="4">
        <v>232</v>
      </c>
      <c r="F53" s="4">
        <f>ROUND(Source!BC37,O53)</f>
        <v>0</v>
      </c>
      <c r="G53" s="4" t="s">
        <v>83</v>
      </c>
      <c r="H53" s="4" t="s">
        <v>84</v>
      </c>
      <c r="I53" s="4"/>
      <c r="J53" s="4"/>
      <c r="K53" s="4">
        <v>-232</v>
      </c>
      <c r="L53" s="4">
        <v>15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 x14ac:dyDescent="0.2">
      <c r="A54" s="4">
        <v>50</v>
      </c>
      <c r="B54" s="4">
        <v>0</v>
      </c>
      <c r="C54" s="4">
        <v>0</v>
      </c>
      <c r="D54" s="4">
        <v>1</v>
      </c>
      <c r="E54" s="4">
        <v>214</v>
      </c>
      <c r="F54" s="4">
        <f>ROUND(Source!AS37,O54)</f>
        <v>0</v>
      </c>
      <c r="G54" s="4" t="s">
        <v>85</v>
      </c>
      <c r="H54" s="4" t="s">
        <v>86</v>
      </c>
      <c r="I54" s="4"/>
      <c r="J54" s="4"/>
      <c r="K54" s="4">
        <v>-214</v>
      </c>
      <c r="L54" s="4">
        <v>16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 x14ac:dyDescent="0.2">
      <c r="A55" s="4">
        <v>50</v>
      </c>
      <c r="B55" s="4">
        <v>0</v>
      </c>
      <c r="C55" s="4">
        <v>0</v>
      </c>
      <c r="D55" s="4">
        <v>1</v>
      </c>
      <c r="E55" s="4">
        <v>215</v>
      </c>
      <c r="F55" s="4">
        <f>ROUND(Source!AT37,O55)</f>
        <v>0</v>
      </c>
      <c r="G55" s="4" t="s">
        <v>87</v>
      </c>
      <c r="H55" s="4" t="s">
        <v>88</v>
      </c>
      <c r="I55" s="4"/>
      <c r="J55" s="4"/>
      <c r="K55" s="4">
        <v>-215</v>
      </c>
      <c r="L55" s="4">
        <v>17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 x14ac:dyDescent="0.2">
      <c r="A56" s="4">
        <v>50</v>
      </c>
      <c r="B56" s="4">
        <v>0</v>
      </c>
      <c r="C56" s="4">
        <v>0</v>
      </c>
      <c r="D56" s="4">
        <v>1</v>
      </c>
      <c r="E56" s="4">
        <v>217</v>
      </c>
      <c r="F56" s="4">
        <f>ROUND(Source!AU37,O56)</f>
        <v>717346.27</v>
      </c>
      <c r="G56" s="4" t="s">
        <v>89</v>
      </c>
      <c r="H56" s="4" t="s">
        <v>90</v>
      </c>
      <c r="I56" s="4"/>
      <c r="J56" s="4"/>
      <c r="K56" s="4">
        <v>-217</v>
      </c>
      <c r="L56" s="4">
        <v>18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 x14ac:dyDescent="0.2">
      <c r="A57" s="4">
        <v>50</v>
      </c>
      <c r="B57" s="4">
        <v>0</v>
      </c>
      <c r="C57" s="4">
        <v>0</v>
      </c>
      <c r="D57" s="4">
        <v>1</v>
      </c>
      <c r="E57" s="4">
        <v>230</v>
      </c>
      <c r="F57" s="4">
        <f>ROUND(Source!BA37,O57)</f>
        <v>0</v>
      </c>
      <c r="G57" s="4" t="s">
        <v>91</v>
      </c>
      <c r="H57" s="4" t="s">
        <v>92</v>
      </c>
      <c r="I57" s="4"/>
      <c r="J57" s="4"/>
      <c r="K57" s="4">
        <v>-230</v>
      </c>
      <c r="L57" s="4">
        <v>19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3" x14ac:dyDescent="0.2">
      <c r="A58" s="4">
        <v>50</v>
      </c>
      <c r="B58" s="4">
        <v>0</v>
      </c>
      <c r="C58" s="4">
        <v>0</v>
      </c>
      <c r="D58" s="4">
        <v>1</v>
      </c>
      <c r="E58" s="4">
        <v>206</v>
      </c>
      <c r="F58" s="4">
        <f>ROUND(Source!T37,O58)</f>
        <v>0</v>
      </c>
      <c r="G58" s="4" t="s">
        <v>93</v>
      </c>
      <c r="H58" s="4" t="s">
        <v>94</v>
      </c>
      <c r="I58" s="4"/>
      <c r="J58" s="4"/>
      <c r="K58" s="4">
        <v>-206</v>
      </c>
      <c r="L58" s="4">
        <v>20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3" x14ac:dyDescent="0.2">
      <c r="A59" s="4">
        <v>50</v>
      </c>
      <c r="B59" s="4">
        <v>0</v>
      </c>
      <c r="C59" s="4">
        <v>0</v>
      </c>
      <c r="D59" s="4">
        <v>1</v>
      </c>
      <c r="E59" s="4">
        <v>207</v>
      </c>
      <c r="F59" s="4">
        <f>Source!U37</f>
        <v>207.2105</v>
      </c>
      <c r="G59" s="4" t="s">
        <v>95</v>
      </c>
      <c r="H59" s="4" t="s">
        <v>96</v>
      </c>
      <c r="I59" s="4"/>
      <c r="J59" s="4"/>
      <c r="K59" s="4">
        <v>-207</v>
      </c>
      <c r="L59" s="4">
        <v>21</v>
      </c>
      <c r="M59" s="4">
        <v>3</v>
      </c>
      <c r="N59" s="4" t="s">
        <v>3</v>
      </c>
      <c r="O59" s="4">
        <v>-1</v>
      </c>
      <c r="P59" s="4"/>
      <c r="Q59" s="4"/>
      <c r="R59" s="4"/>
      <c r="S59" s="4"/>
      <c r="T59" s="4"/>
      <c r="U59" s="4"/>
      <c r="V59" s="4"/>
      <c r="W59" s="4"/>
    </row>
    <row r="60" spans="1:23" x14ac:dyDescent="0.2">
      <c r="A60" s="4">
        <v>50</v>
      </c>
      <c r="B60" s="4">
        <v>0</v>
      </c>
      <c r="C60" s="4">
        <v>0</v>
      </c>
      <c r="D60" s="4">
        <v>1</v>
      </c>
      <c r="E60" s="4">
        <v>208</v>
      </c>
      <c r="F60" s="4">
        <f>Source!V37</f>
        <v>0</v>
      </c>
      <c r="G60" s="4" t="s">
        <v>97</v>
      </c>
      <c r="H60" s="4" t="s">
        <v>98</v>
      </c>
      <c r="I60" s="4"/>
      <c r="J60" s="4"/>
      <c r="K60" s="4">
        <v>-208</v>
      </c>
      <c r="L60" s="4">
        <v>22</v>
      </c>
      <c r="M60" s="4">
        <v>3</v>
      </c>
      <c r="N60" s="4" t="s">
        <v>3</v>
      </c>
      <c r="O60" s="4">
        <v>-1</v>
      </c>
      <c r="P60" s="4"/>
      <c r="Q60" s="4"/>
      <c r="R60" s="4"/>
      <c r="S60" s="4"/>
      <c r="T60" s="4"/>
      <c r="U60" s="4"/>
      <c r="V60" s="4"/>
      <c r="W60" s="4"/>
    </row>
    <row r="61" spans="1:23" x14ac:dyDescent="0.2">
      <c r="A61" s="4">
        <v>50</v>
      </c>
      <c r="B61" s="4">
        <v>0</v>
      </c>
      <c r="C61" s="4">
        <v>0</v>
      </c>
      <c r="D61" s="4">
        <v>1</v>
      </c>
      <c r="E61" s="4">
        <v>209</v>
      </c>
      <c r="F61" s="4">
        <f>ROUND(Source!W37,O61)</f>
        <v>0</v>
      </c>
      <c r="G61" s="4" t="s">
        <v>99</v>
      </c>
      <c r="H61" s="4" t="s">
        <v>100</v>
      </c>
      <c r="I61" s="4"/>
      <c r="J61" s="4"/>
      <c r="K61" s="4">
        <v>-209</v>
      </c>
      <c r="L61" s="4">
        <v>23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3" x14ac:dyDescent="0.2">
      <c r="A62" s="4">
        <v>50</v>
      </c>
      <c r="B62" s="4">
        <v>0</v>
      </c>
      <c r="C62" s="4">
        <v>0</v>
      </c>
      <c r="D62" s="4">
        <v>1</v>
      </c>
      <c r="E62" s="4">
        <v>210</v>
      </c>
      <c r="F62" s="4">
        <f>ROUND(Source!X37,O62)</f>
        <v>24446.05</v>
      </c>
      <c r="G62" s="4" t="s">
        <v>101</v>
      </c>
      <c r="H62" s="4" t="s">
        <v>102</v>
      </c>
      <c r="I62" s="4"/>
      <c r="J62" s="4"/>
      <c r="K62" s="4">
        <v>-210</v>
      </c>
      <c r="L62" s="4">
        <v>24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/>
    </row>
    <row r="63" spans="1:23" x14ac:dyDescent="0.2">
      <c r="A63" s="4">
        <v>50</v>
      </c>
      <c r="B63" s="4">
        <v>0</v>
      </c>
      <c r="C63" s="4">
        <v>0</v>
      </c>
      <c r="D63" s="4">
        <v>1</v>
      </c>
      <c r="E63" s="4">
        <v>211</v>
      </c>
      <c r="F63" s="4">
        <f>ROUND(Source!Y37,O63)</f>
        <v>3492.3</v>
      </c>
      <c r="G63" s="4" t="s">
        <v>103</v>
      </c>
      <c r="H63" s="4" t="s">
        <v>104</v>
      </c>
      <c r="I63" s="4"/>
      <c r="J63" s="4"/>
      <c r="K63" s="4">
        <v>-211</v>
      </c>
      <c r="L63" s="4">
        <v>25</v>
      </c>
      <c r="M63" s="4">
        <v>3</v>
      </c>
      <c r="N63" s="4" t="s">
        <v>3</v>
      </c>
      <c r="O63" s="4">
        <v>2</v>
      </c>
      <c r="P63" s="4"/>
      <c r="Q63" s="4"/>
      <c r="R63" s="4"/>
      <c r="S63" s="4"/>
      <c r="T63" s="4"/>
      <c r="U63" s="4"/>
      <c r="V63" s="4"/>
      <c r="W63" s="4"/>
    </row>
    <row r="64" spans="1:23" x14ac:dyDescent="0.2">
      <c r="A64" s="4">
        <v>50</v>
      </c>
      <c r="B64" s="4">
        <v>0</v>
      </c>
      <c r="C64" s="4">
        <v>0</v>
      </c>
      <c r="D64" s="4">
        <v>1</v>
      </c>
      <c r="E64" s="4">
        <v>224</v>
      </c>
      <c r="F64" s="4">
        <f>ROUND(Source!AR37,O64)</f>
        <v>717346.27</v>
      </c>
      <c r="G64" s="4" t="s">
        <v>105</v>
      </c>
      <c r="H64" s="4" t="s">
        <v>106</v>
      </c>
      <c r="I64" s="4"/>
      <c r="J64" s="4"/>
      <c r="K64" s="4">
        <v>-224</v>
      </c>
      <c r="L64" s="4">
        <v>26</v>
      </c>
      <c r="M64" s="4">
        <v>3</v>
      </c>
      <c r="N64" s="4" t="s">
        <v>3</v>
      </c>
      <c r="O64" s="4">
        <v>2</v>
      </c>
      <c r="P64" s="4"/>
      <c r="Q64" s="4"/>
      <c r="R64" s="4"/>
      <c r="S64" s="4"/>
      <c r="T64" s="4"/>
      <c r="U64" s="4"/>
      <c r="V64" s="4"/>
      <c r="W64" s="4"/>
    </row>
    <row r="66" spans="1:245" x14ac:dyDescent="0.2">
      <c r="A66" s="1">
        <v>4</v>
      </c>
      <c r="B66" s="1">
        <v>1</v>
      </c>
      <c r="C66" s="1"/>
      <c r="D66" s="1">
        <f>ROW(A77)</f>
        <v>77</v>
      </c>
      <c r="E66" s="1"/>
      <c r="F66" s="1" t="s">
        <v>12</v>
      </c>
      <c r="G66" s="1" t="s">
        <v>107</v>
      </c>
      <c r="H66" s="1" t="s">
        <v>3</v>
      </c>
      <c r="I66" s="1">
        <v>0</v>
      </c>
      <c r="J66" s="1"/>
      <c r="K66" s="1">
        <v>0</v>
      </c>
      <c r="L66" s="1"/>
      <c r="M66" s="1"/>
      <c r="N66" s="1"/>
      <c r="O66" s="1"/>
      <c r="P66" s="1"/>
      <c r="Q66" s="1"/>
      <c r="R66" s="1"/>
      <c r="S66" s="1"/>
      <c r="T66" s="1"/>
      <c r="U66" s="1" t="s">
        <v>3</v>
      </c>
      <c r="V66" s="1">
        <v>0</v>
      </c>
      <c r="W66" s="1"/>
      <c r="X66" s="1"/>
      <c r="Y66" s="1"/>
      <c r="Z66" s="1"/>
      <c r="AA66" s="1"/>
      <c r="AB66" s="1" t="s">
        <v>3</v>
      </c>
      <c r="AC66" s="1" t="s">
        <v>3</v>
      </c>
      <c r="AD66" s="1" t="s">
        <v>3</v>
      </c>
      <c r="AE66" s="1" t="s">
        <v>3</v>
      </c>
      <c r="AF66" s="1" t="s">
        <v>3</v>
      </c>
      <c r="AG66" s="1" t="s">
        <v>3</v>
      </c>
      <c r="AH66" s="1"/>
      <c r="AI66" s="1"/>
      <c r="AJ66" s="1"/>
      <c r="AK66" s="1"/>
      <c r="AL66" s="1"/>
      <c r="AM66" s="1"/>
      <c r="AN66" s="1"/>
      <c r="AO66" s="1"/>
      <c r="AP66" s="1" t="s">
        <v>3</v>
      </c>
      <c r="AQ66" s="1" t="s">
        <v>3</v>
      </c>
      <c r="AR66" s="1" t="s">
        <v>3</v>
      </c>
      <c r="AS66" s="1"/>
      <c r="AT66" s="1"/>
      <c r="AU66" s="1"/>
      <c r="AV66" s="1"/>
      <c r="AW66" s="1"/>
      <c r="AX66" s="1"/>
      <c r="AY66" s="1"/>
      <c r="AZ66" s="1" t="s">
        <v>3</v>
      </c>
      <c r="BA66" s="1"/>
      <c r="BB66" s="1" t="s">
        <v>3</v>
      </c>
      <c r="BC66" s="1" t="s">
        <v>3</v>
      </c>
      <c r="BD66" s="1" t="s">
        <v>3</v>
      </c>
      <c r="BE66" s="1" t="s">
        <v>3</v>
      </c>
      <c r="BF66" s="1" t="s">
        <v>3</v>
      </c>
      <c r="BG66" s="1" t="s">
        <v>3</v>
      </c>
      <c r="BH66" s="1" t="s">
        <v>3</v>
      </c>
      <c r="BI66" s="1" t="s">
        <v>3</v>
      </c>
      <c r="BJ66" s="1" t="s">
        <v>3</v>
      </c>
      <c r="BK66" s="1" t="s">
        <v>3</v>
      </c>
      <c r="BL66" s="1" t="s">
        <v>3</v>
      </c>
      <c r="BM66" s="1" t="s">
        <v>3</v>
      </c>
      <c r="BN66" s="1" t="s">
        <v>3</v>
      </c>
      <c r="BO66" s="1" t="s">
        <v>3</v>
      </c>
      <c r="BP66" s="1" t="s">
        <v>3</v>
      </c>
      <c r="BQ66" s="1"/>
      <c r="BR66" s="1"/>
      <c r="BS66" s="1"/>
      <c r="BT66" s="1"/>
      <c r="BU66" s="1"/>
      <c r="BV66" s="1"/>
      <c r="BW66" s="1"/>
      <c r="BX66" s="1">
        <v>0</v>
      </c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>
        <v>0</v>
      </c>
    </row>
    <row r="68" spans="1:245" x14ac:dyDescent="0.2">
      <c r="A68" s="2">
        <v>52</v>
      </c>
      <c r="B68" s="2">
        <f t="shared" ref="B68:G68" si="54">B77</f>
        <v>1</v>
      </c>
      <c r="C68" s="2">
        <f t="shared" si="54"/>
        <v>4</v>
      </c>
      <c r="D68" s="2">
        <f t="shared" si="54"/>
        <v>66</v>
      </c>
      <c r="E68" s="2">
        <f t="shared" si="54"/>
        <v>0</v>
      </c>
      <c r="F68" s="2" t="str">
        <f t="shared" si="54"/>
        <v>Новый раздел</v>
      </c>
      <c r="G68" s="2" t="str">
        <f t="shared" si="54"/>
        <v>Устройство асфальтобетонного покрытия - 13м2</v>
      </c>
      <c r="H68" s="2"/>
      <c r="I68" s="2"/>
      <c r="J68" s="2"/>
      <c r="K68" s="2"/>
      <c r="L68" s="2"/>
      <c r="M68" s="2"/>
      <c r="N68" s="2"/>
      <c r="O68" s="2">
        <f t="shared" ref="O68:AT68" si="55">O77</f>
        <v>11409.23</v>
      </c>
      <c r="P68" s="2">
        <f t="shared" si="55"/>
        <v>7537.39</v>
      </c>
      <c r="Q68" s="2">
        <f t="shared" si="55"/>
        <v>3446.14</v>
      </c>
      <c r="R68" s="2">
        <f t="shared" si="55"/>
        <v>2212.09</v>
      </c>
      <c r="S68" s="2">
        <f t="shared" si="55"/>
        <v>425.7</v>
      </c>
      <c r="T68" s="2">
        <f t="shared" si="55"/>
        <v>0</v>
      </c>
      <c r="U68" s="2">
        <f t="shared" si="55"/>
        <v>2.3500749999999999</v>
      </c>
      <c r="V68" s="2">
        <f t="shared" si="55"/>
        <v>0</v>
      </c>
      <c r="W68" s="2">
        <f t="shared" si="55"/>
        <v>0</v>
      </c>
      <c r="X68" s="2">
        <f t="shared" si="55"/>
        <v>298</v>
      </c>
      <c r="Y68" s="2">
        <f t="shared" si="55"/>
        <v>42.57</v>
      </c>
      <c r="Z68" s="2">
        <f t="shared" si="55"/>
        <v>0</v>
      </c>
      <c r="AA68" s="2">
        <f t="shared" si="55"/>
        <v>0</v>
      </c>
      <c r="AB68" s="2">
        <f t="shared" si="55"/>
        <v>11409.23</v>
      </c>
      <c r="AC68" s="2">
        <f t="shared" si="55"/>
        <v>7537.39</v>
      </c>
      <c r="AD68" s="2">
        <f t="shared" si="55"/>
        <v>3446.14</v>
      </c>
      <c r="AE68" s="2">
        <f t="shared" si="55"/>
        <v>2212.09</v>
      </c>
      <c r="AF68" s="2">
        <f t="shared" si="55"/>
        <v>425.7</v>
      </c>
      <c r="AG68" s="2">
        <f t="shared" si="55"/>
        <v>0</v>
      </c>
      <c r="AH68" s="2">
        <f t="shared" si="55"/>
        <v>2.3500749999999999</v>
      </c>
      <c r="AI68" s="2">
        <f t="shared" si="55"/>
        <v>0</v>
      </c>
      <c r="AJ68" s="2">
        <f t="shared" si="55"/>
        <v>0</v>
      </c>
      <c r="AK68" s="2">
        <f t="shared" si="55"/>
        <v>298</v>
      </c>
      <c r="AL68" s="2">
        <f t="shared" si="55"/>
        <v>42.57</v>
      </c>
      <c r="AM68" s="2">
        <f t="shared" si="55"/>
        <v>0</v>
      </c>
      <c r="AN68" s="2">
        <f t="shared" si="55"/>
        <v>0</v>
      </c>
      <c r="AO68" s="2">
        <f t="shared" si="55"/>
        <v>0</v>
      </c>
      <c r="AP68" s="2">
        <f t="shared" si="55"/>
        <v>0</v>
      </c>
      <c r="AQ68" s="2">
        <f t="shared" si="55"/>
        <v>0</v>
      </c>
      <c r="AR68" s="2">
        <f t="shared" si="55"/>
        <v>12209.81</v>
      </c>
      <c r="AS68" s="2">
        <f t="shared" si="55"/>
        <v>0</v>
      </c>
      <c r="AT68" s="2">
        <f t="shared" si="55"/>
        <v>0</v>
      </c>
      <c r="AU68" s="2">
        <f t="shared" ref="AU68:BZ68" si="56">AU77</f>
        <v>12209.81</v>
      </c>
      <c r="AV68" s="2">
        <f t="shared" si="56"/>
        <v>7537.39</v>
      </c>
      <c r="AW68" s="2">
        <f t="shared" si="56"/>
        <v>7537.39</v>
      </c>
      <c r="AX68" s="2">
        <f t="shared" si="56"/>
        <v>0</v>
      </c>
      <c r="AY68" s="2">
        <f t="shared" si="56"/>
        <v>7537.39</v>
      </c>
      <c r="AZ68" s="2">
        <f t="shared" si="56"/>
        <v>0</v>
      </c>
      <c r="BA68" s="2">
        <f t="shared" si="56"/>
        <v>0</v>
      </c>
      <c r="BB68" s="2">
        <f t="shared" si="56"/>
        <v>0</v>
      </c>
      <c r="BC68" s="2">
        <f t="shared" si="56"/>
        <v>0</v>
      </c>
      <c r="BD68" s="2">
        <f t="shared" si="56"/>
        <v>0</v>
      </c>
      <c r="BE68" s="2">
        <f t="shared" si="56"/>
        <v>0</v>
      </c>
      <c r="BF68" s="2">
        <f t="shared" si="56"/>
        <v>0</v>
      </c>
      <c r="BG68" s="2">
        <f t="shared" si="56"/>
        <v>0</v>
      </c>
      <c r="BH68" s="2">
        <f t="shared" si="56"/>
        <v>0</v>
      </c>
      <c r="BI68" s="2">
        <f t="shared" si="56"/>
        <v>0</v>
      </c>
      <c r="BJ68" s="2">
        <f t="shared" si="56"/>
        <v>0</v>
      </c>
      <c r="BK68" s="2">
        <f t="shared" si="56"/>
        <v>0</v>
      </c>
      <c r="BL68" s="2">
        <f t="shared" si="56"/>
        <v>0</v>
      </c>
      <c r="BM68" s="2">
        <f t="shared" si="56"/>
        <v>0</v>
      </c>
      <c r="BN68" s="2">
        <f t="shared" si="56"/>
        <v>0</v>
      </c>
      <c r="BO68" s="2">
        <f t="shared" si="56"/>
        <v>0</v>
      </c>
      <c r="BP68" s="2">
        <f t="shared" si="56"/>
        <v>0</v>
      </c>
      <c r="BQ68" s="2">
        <f t="shared" si="56"/>
        <v>0</v>
      </c>
      <c r="BR68" s="2">
        <f t="shared" si="56"/>
        <v>0</v>
      </c>
      <c r="BS68" s="2">
        <f t="shared" si="56"/>
        <v>0</v>
      </c>
      <c r="BT68" s="2">
        <f t="shared" si="56"/>
        <v>0</v>
      </c>
      <c r="BU68" s="2">
        <f t="shared" si="56"/>
        <v>0</v>
      </c>
      <c r="BV68" s="2">
        <f t="shared" si="56"/>
        <v>0</v>
      </c>
      <c r="BW68" s="2">
        <f t="shared" si="56"/>
        <v>0</v>
      </c>
      <c r="BX68" s="2">
        <f t="shared" si="56"/>
        <v>0</v>
      </c>
      <c r="BY68" s="2">
        <f t="shared" si="56"/>
        <v>0</v>
      </c>
      <c r="BZ68" s="2">
        <f t="shared" si="56"/>
        <v>0</v>
      </c>
      <c r="CA68" s="2">
        <f t="shared" ref="CA68:DF68" si="57">CA77</f>
        <v>12209.81</v>
      </c>
      <c r="CB68" s="2">
        <f t="shared" si="57"/>
        <v>0</v>
      </c>
      <c r="CC68" s="2">
        <f t="shared" si="57"/>
        <v>0</v>
      </c>
      <c r="CD68" s="2">
        <f t="shared" si="57"/>
        <v>12209.81</v>
      </c>
      <c r="CE68" s="2">
        <f t="shared" si="57"/>
        <v>7537.39</v>
      </c>
      <c r="CF68" s="2">
        <f t="shared" si="57"/>
        <v>7537.39</v>
      </c>
      <c r="CG68" s="2">
        <f t="shared" si="57"/>
        <v>0</v>
      </c>
      <c r="CH68" s="2">
        <f t="shared" si="57"/>
        <v>7537.39</v>
      </c>
      <c r="CI68" s="2">
        <f t="shared" si="57"/>
        <v>0</v>
      </c>
      <c r="CJ68" s="2">
        <f t="shared" si="57"/>
        <v>0</v>
      </c>
      <c r="CK68" s="2">
        <f t="shared" si="57"/>
        <v>0</v>
      </c>
      <c r="CL68" s="2">
        <f t="shared" si="57"/>
        <v>0</v>
      </c>
      <c r="CM68" s="2">
        <f t="shared" si="57"/>
        <v>0</v>
      </c>
      <c r="CN68" s="2">
        <f t="shared" si="57"/>
        <v>0</v>
      </c>
      <c r="CO68" s="2">
        <f t="shared" si="57"/>
        <v>0</v>
      </c>
      <c r="CP68" s="2">
        <f t="shared" si="57"/>
        <v>0</v>
      </c>
      <c r="CQ68" s="2">
        <f t="shared" si="57"/>
        <v>0</v>
      </c>
      <c r="CR68" s="2">
        <f t="shared" si="57"/>
        <v>0</v>
      </c>
      <c r="CS68" s="2">
        <f t="shared" si="57"/>
        <v>0</v>
      </c>
      <c r="CT68" s="2">
        <f t="shared" si="57"/>
        <v>0</v>
      </c>
      <c r="CU68" s="2">
        <f t="shared" si="57"/>
        <v>0</v>
      </c>
      <c r="CV68" s="2">
        <f t="shared" si="57"/>
        <v>0</v>
      </c>
      <c r="CW68" s="2">
        <f t="shared" si="57"/>
        <v>0</v>
      </c>
      <c r="CX68" s="2">
        <f t="shared" si="57"/>
        <v>0</v>
      </c>
      <c r="CY68" s="2">
        <f t="shared" si="57"/>
        <v>0</v>
      </c>
      <c r="CZ68" s="2">
        <f t="shared" si="57"/>
        <v>0</v>
      </c>
      <c r="DA68" s="2">
        <f t="shared" si="57"/>
        <v>0</v>
      </c>
      <c r="DB68" s="2">
        <f t="shared" si="57"/>
        <v>0</v>
      </c>
      <c r="DC68" s="2">
        <f t="shared" si="57"/>
        <v>0</v>
      </c>
      <c r="DD68" s="2">
        <f t="shared" si="57"/>
        <v>0</v>
      </c>
      <c r="DE68" s="2">
        <f t="shared" si="57"/>
        <v>0</v>
      </c>
      <c r="DF68" s="2">
        <f t="shared" si="57"/>
        <v>0</v>
      </c>
      <c r="DG68" s="3">
        <f t="shared" ref="DG68:EL68" si="58">DG77</f>
        <v>0</v>
      </c>
      <c r="DH68" s="3">
        <f t="shared" si="58"/>
        <v>0</v>
      </c>
      <c r="DI68" s="3">
        <f t="shared" si="58"/>
        <v>0</v>
      </c>
      <c r="DJ68" s="3">
        <f t="shared" si="58"/>
        <v>0</v>
      </c>
      <c r="DK68" s="3">
        <f t="shared" si="58"/>
        <v>0</v>
      </c>
      <c r="DL68" s="3">
        <f t="shared" si="58"/>
        <v>0</v>
      </c>
      <c r="DM68" s="3">
        <f t="shared" si="58"/>
        <v>0</v>
      </c>
      <c r="DN68" s="3">
        <f t="shared" si="58"/>
        <v>0</v>
      </c>
      <c r="DO68" s="3">
        <f t="shared" si="58"/>
        <v>0</v>
      </c>
      <c r="DP68" s="3">
        <f t="shared" si="58"/>
        <v>0</v>
      </c>
      <c r="DQ68" s="3">
        <f t="shared" si="58"/>
        <v>0</v>
      </c>
      <c r="DR68" s="3">
        <f t="shared" si="58"/>
        <v>0</v>
      </c>
      <c r="DS68" s="3">
        <f t="shared" si="58"/>
        <v>0</v>
      </c>
      <c r="DT68" s="3">
        <f t="shared" si="58"/>
        <v>0</v>
      </c>
      <c r="DU68" s="3">
        <f t="shared" si="58"/>
        <v>0</v>
      </c>
      <c r="DV68" s="3">
        <f t="shared" si="58"/>
        <v>0</v>
      </c>
      <c r="DW68" s="3">
        <f t="shared" si="58"/>
        <v>0</v>
      </c>
      <c r="DX68" s="3">
        <f t="shared" si="58"/>
        <v>0</v>
      </c>
      <c r="DY68" s="3">
        <f t="shared" si="58"/>
        <v>0</v>
      </c>
      <c r="DZ68" s="3">
        <f t="shared" si="58"/>
        <v>0</v>
      </c>
      <c r="EA68" s="3">
        <f t="shared" si="58"/>
        <v>0</v>
      </c>
      <c r="EB68" s="3">
        <f t="shared" si="58"/>
        <v>0</v>
      </c>
      <c r="EC68" s="3">
        <f t="shared" si="58"/>
        <v>0</v>
      </c>
      <c r="ED68" s="3">
        <f t="shared" si="58"/>
        <v>0</v>
      </c>
      <c r="EE68" s="3">
        <f t="shared" si="58"/>
        <v>0</v>
      </c>
      <c r="EF68" s="3">
        <f t="shared" si="58"/>
        <v>0</v>
      </c>
      <c r="EG68" s="3">
        <f t="shared" si="58"/>
        <v>0</v>
      </c>
      <c r="EH68" s="3">
        <f t="shared" si="58"/>
        <v>0</v>
      </c>
      <c r="EI68" s="3">
        <f t="shared" si="58"/>
        <v>0</v>
      </c>
      <c r="EJ68" s="3">
        <f t="shared" si="58"/>
        <v>0</v>
      </c>
      <c r="EK68" s="3">
        <f t="shared" si="58"/>
        <v>0</v>
      </c>
      <c r="EL68" s="3">
        <f t="shared" si="58"/>
        <v>0</v>
      </c>
      <c r="EM68" s="3">
        <f t="shared" ref="EM68:FR68" si="59">EM77</f>
        <v>0</v>
      </c>
      <c r="EN68" s="3">
        <f t="shared" si="59"/>
        <v>0</v>
      </c>
      <c r="EO68" s="3">
        <f t="shared" si="59"/>
        <v>0</v>
      </c>
      <c r="EP68" s="3">
        <f t="shared" si="59"/>
        <v>0</v>
      </c>
      <c r="EQ68" s="3">
        <f t="shared" si="59"/>
        <v>0</v>
      </c>
      <c r="ER68" s="3">
        <f t="shared" si="59"/>
        <v>0</v>
      </c>
      <c r="ES68" s="3">
        <f t="shared" si="59"/>
        <v>0</v>
      </c>
      <c r="ET68" s="3">
        <f t="shared" si="59"/>
        <v>0</v>
      </c>
      <c r="EU68" s="3">
        <f t="shared" si="59"/>
        <v>0</v>
      </c>
      <c r="EV68" s="3">
        <f t="shared" si="59"/>
        <v>0</v>
      </c>
      <c r="EW68" s="3">
        <f t="shared" si="59"/>
        <v>0</v>
      </c>
      <c r="EX68" s="3">
        <f t="shared" si="59"/>
        <v>0</v>
      </c>
      <c r="EY68" s="3">
        <f t="shared" si="59"/>
        <v>0</v>
      </c>
      <c r="EZ68" s="3">
        <f t="shared" si="59"/>
        <v>0</v>
      </c>
      <c r="FA68" s="3">
        <f t="shared" si="59"/>
        <v>0</v>
      </c>
      <c r="FB68" s="3">
        <f t="shared" si="59"/>
        <v>0</v>
      </c>
      <c r="FC68" s="3">
        <f t="shared" si="59"/>
        <v>0</v>
      </c>
      <c r="FD68" s="3">
        <f t="shared" si="59"/>
        <v>0</v>
      </c>
      <c r="FE68" s="3">
        <f t="shared" si="59"/>
        <v>0</v>
      </c>
      <c r="FF68" s="3">
        <f t="shared" si="59"/>
        <v>0</v>
      </c>
      <c r="FG68" s="3">
        <f t="shared" si="59"/>
        <v>0</v>
      </c>
      <c r="FH68" s="3">
        <f t="shared" si="59"/>
        <v>0</v>
      </c>
      <c r="FI68" s="3">
        <f t="shared" si="59"/>
        <v>0</v>
      </c>
      <c r="FJ68" s="3">
        <f t="shared" si="59"/>
        <v>0</v>
      </c>
      <c r="FK68" s="3">
        <f t="shared" si="59"/>
        <v>0</v>
      </c>
      <c r="FL68" s="3">
        <f t="shared" si="59"/>
        <v>0</v>
      </c>
      <c r="FM68" s="3">
        <f t="shared" si="59"/>
        <v>0</v>
      </c>
      <c r="FN68" s="3">
        <f t="shared" si="59"/>
        <v>0</v>
      </c>
      <c r="FO68" s="3">
        <f t="shared" si="59"/>
        <v>0</v>
      </c>
      <c r="FP68" s="3">
        <f t="shared" si="59"/>
        <v>0</v>
      </c>
      <c r="FQ68" s="3">
        <f t="shared" si="59"/>
        <v>0</v>
      </c>
      <c r="FR68" s="3">
        <f t="shared" si="59"/>
        <v>0</v>
      </c>
      <c r="FS68" s="3">
        <f t="shared" ref="FS68:GX68" si="60">FS77</f>
        <v>0</v>
      </c>
      <c r="FT68" s="3">
        <f t="shared" si="60"/>
        <v>0</v>
      </c>
      <c r="FU68" s="3">
        <f t="shared" si="60"/>
        <v>0</v>
      </c>
      <c r="FV68" s="3">
        <f t="shared" si="60"/>
        <v>0</v>
      </c>
      <c r="FW68" s="3">
        <f t="shared" si="60"/>
        <v>0</v>
      </c>
      <c r="FX68" s="3">
        <f t="shared" si="60"/>
        <v>0</v>
      </c>
      <c r="FY68" s="3">
        <f t="shared" si="60"/>
        <v>0</v>
      </c>
      <c r="FZ68" s="3">
        <f t="shared" si="60"/>
        <v>0</v>
      </c>
      <c r="GA68" s="3">
        <f t="shared" si="60"/>
        <v>0</v>
      </c>
      <c r="GB68" s="3">
        <f t="shared" si="60"/>
        <v>0</v>
      </c>
      <c r="GC68" s="3">
        <f t="shared" si="60"/>
        <v>0</v>
      </c>
      <c r="GD68" s="3">
        <f t="shared" si="60"/>
        <v>0</v>
      </c>
      <c r="GE68" s="3">
        <f t="shared" si="60"/>
        <v>0</v>
      </c>
      <c r="GF68" s="3">
        <f t="shared" si="60"/>
        <v>0</v>
      </c>
      <c r="GG68" s="3">
        <f t="shared" si="60"/>
        <v>0</v>
      </c>
      <c r="GH68" s="3">
        <f t="shared" si="60"/>
        <v>0</v>
      </c>
      <c r="GI68" s="3">
        <f t="shared" si="60"/>
        <v>0</v>
      </c>
      <c r="GJ68" s="3">
        <f t="shared" si="60"/>
        <v>0</v>
      </c>
      <c r="GK68" s="3">
        <f t="shared" si="60"/>
        <v>0</v>
      </c>
      <c r="GL68" s="3">
        <f t="shared" si="60"/>
        <v>0</v>
      </c>
      <c r="GM68" s="3">
        <f t="shared" si="60"/>
        <v>0</v>
      </c>
      <c r="GN68" s="3">
        <f t="shared" si="60"/>
        <v>0</v>
      </c>
      <c r="GO68" s="3">
        <f t="shared" si="60"/>
        <v>0</v>
      </c>
      <c r="GP68" s="3">
        <f t="shared" si="60"/>
        <v>0</v>
      </c>
      <c r="GQ68" s="3">
        <f t="shared" si="60"/>
        <v>0</v>
      </c>
      <c r="GR68" s="3">
        <f t="shared" si="60"/>
        <v>0</v>
      </c>
      <c r="GS68" s="3">
        <f t="shared" si="60"/>
        <v>0</v>
      </c>
      <c r="GT68" s="3">
        <f t="shared" si="60"/>
        <v>0</v>
      </c>
      <c r="GU68" s="3">
        <f t="shared" si="60"/>
        <v>0</v>
      </c>
      <c r="GV68" s="3">
        <f t="shared" si="60"/>
        <v>0</v>
      </c>
      <c r="GW68" s="3">
        <f t="shared" si="60"/>
        <v>0</v>
      </c>
      <c r="GX68" s="3">
        <f t="shared" si="60"/>
        <v>0</v>
      </c>
    </row>
    <row r="70" spans="1:245" x14ac:dyDescent="0.2">
      <c r="A70">
        <v>17</v>
      </c>
      <c r="B70">
        <v>1</v>
      </c>
      <c r="C70">
        <f>ROW(SmtRes!A36)</f>
        <v>36</v>
      </c>
      <c r="D70">
        <f>ROW(EtalonRes!A36)</f>
        <v>36</v>
      </c>
      <c r="E70" t="s">
        <v>108</v>
      </c>
      <c r="F70" t="s">
        <v>109</v>
      </c>
      <c r="G70" t="s">
        <v>110</v>
      </c>
      <c r="H70" t="s">
        <v>17</v>
      </c>
      <c r="I70">
        <f>ROUND(13*0.35/100,9)</f>
        <v>4.5499999999999999E-2</v>
      </c>
      <c r="J70">
        <v>0</v>
      </c>
      <c r="O70">
        <f t="shared" ref="O70:O75" si="61">ROUND(CP70,2)</f>
        <v>232.05</v>
      </c>
      <c r="P70">
        <f t="shared" ref="P70:P75" si="62">ROUND(CQ70*I70,2)</f>
        <v>0</v>
      </c>
      <c r="Q70">
        <f t="shared" ref="Q70:Q75" si="63">ROUND(CR70*I70,2)</f>
        <v>224.92</v>
      </c>
      <c r="R70">
        <f t="shared" ref="R70:R75" si="64">ROUND(CS70*I70,2)</f>
        <v>91.56</v>
      </c>
      <c r="S70">
        <f t="shared" ref="S70:S75" si="65">ROUND(CT70*I70,2)</f>
        <v>7.13</v>
      </c>
      <c r="T70">
        <f t="shared" ref="T70:T75" si="66">ROUND(CU70*I70,2)</f>
        <v>0</v>
      </c>
      <c r="U70">
        <f t="shared" ref="U70:U75" si="67">CV70*I70</f>
        <v>4.7774999999999998E-2</v>
      </c>
      <c r="V70">
        <f t="shared" ref="V70:V75" si="68">CW70*I70</f>
        <v>0</v>
      </c>
      <c r="W70">
        <f t="shared" ref="W70:W75" si="69">ROUND(CX70*I70,2)</f>
        <v>0</v>
      </c>
      <c r="X70">
        <f t="shared" ref="X70:Y75" si="70">ROUND(CY70,2)</f>
        <v>4.99</v>
      </c>
      <c r="Y70">
        <f t="shared" si="70"/>
        <v>0.71</v>
      </c>
      <c r="AA70">
        <v>37598633</v>
      </c>
      <c r="AB70">
        <f t="shared" ref="AB70:AB75" si="71">ROUND((AC70+AD70+AF70),6)</f>
        <v>5099.91</v>
      </c>
      <c r="AC70">
        <f>ROUND((ES70),6)</f>
        <v>0</v>
      </c>
      <c r="AD70">
        <f>ROUND((((ET70)-(EU70))+AE70),6)</f>
        <v>4943.3</v>
      </c>
      <c r="AE70">
        <f>ROUND((EU70),6)</f>
        <v>2012.38</v>
      </c>
      <c r="AF70">
        <f>ROUND((EV70),6)</f>
        <v>156.61000000000001</v>
      </c>
      <c r="AG70">
        <f t="shared" ref="AG70:AG75" si="72">ROUND((AP70),6)</f>
        <v>0</v>
      </c>
      <c r="AH70">
        <f>(EW70)</f>
        <v>1.05</v>
      </c>
      <c r="AI70">
        <f>(EX70)</f>
        <v>0</v>
      </c>
      <c r="AJ70">
        <f t="shared" ref="AJ70:AJ75" si="73">ROUND((AS70),6)</f>
        <v>0</v>
      </c>
      <c r="AK70">
        <v>5099.91</v>
      </c>
      <c r="AL70">
        <v>0</v>
      </c>
      <c r="AM70">
        <v>4943.3</v>
      </c>
      <c r="AN70">
        <v>2012.38</v>
      </c>
      <c r="AO70">
        <v>156.61000000000001</v>
      </c>
      <c r="AP70">
        <v>0</v>
      </c>
      <c r="AQ70">
        <v>1.05</v>
      </c>
      <c r="AR70">
        <v>0</v>
      </c>
      <c r="AS70">
        <v>0</v>
      </c>
      <c r="AT70">
        <v>70</v>
      </c>
      <c r="AU70">
        <v>10</v>
      </c>
      <c r="AV70">
        <v>1</v>
      </c>
      <c r="AW70">
        <v>1</v>
      </c>
      <c r="AZ70">
        <v>1</v>
      </c>
      <c r="BA70">
        <v>1</v>
      </c>
      <c r="BB70">
        <v>1</v>
      </c>
      <c r="BC70">
        <v>1</v>
      </c>
      <c r="BD70" t="s">
        <v>3</v>
      </c>
      <c r="BE70" t="s">
        <v>3</v>
      </c>
      <c r="BF70" t="s">
        <v>3</v>
      </c>
      <c r="BG70" t="s">
        <v>3</v>
      </c>
      <c r="BH70">
        <v>0</v>
      </c>
      <c r="BI70">
        <v>4</v>
      </c>
      <c r="BJ70" t="s">
        <v>111</v>
      </c>
      <c r="BM70">
        <v>0</v>
      </c>
      <c r="BN70">
        <v>0</v>
      </c>
      <c r="BO70" t="s">
        <v>3</v>
      </c>
      <c r="BP70">
        <v>0</v>
      </c>
      <c r="BQ70">
        <v>1</v>
      </c>
      <c r="BR70">
        <v>0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Y70" t="s">
        <v>3</v>
      </c>
      <c r="BZ70">
        <v>70</v>
      </c>
      <c r="CA70">
        <v>10</v>
      </c>
      <c r="CF70">
        <v>0</v>
      </c>
      <c r="CG70">
        <v>0</v>
      </c>
      <c r="CM70">
        <v>0</v>
      </c>
      <c r="CN70" t="s">
        <v>3</v>
      </c>
      <c r="CO70">
        <v>0</v>
      </c>
      <c r="CP70">
        <f t="shared" ref="CP70:CP75" si="74">(P70+Q70+S70)</f>
        <v>232.04999999999998</v>
      </c>
      <c r="CQ70">
        <f t="shared" ref="CQ70:CQ75" si="75">(AC70*BC70*AW70)</f>
        <v>0</v>
      </c>
      <c r="CR70">
        <f>((((ET70)*BB70-(EU70)*BS70)+AE70*BS70)*AV70)</f>
        <v>4943.3</v>
      </c>
      <c r="CS70">
        <f t="shared" ref="CS70:CS75" si="76">(AE70*BS70*AV70)</f>
        <v>2012.38</v>
      </c>
      <c r="CT70">
        <f t="shared" ref="CT70:CT75" si="77">(AF70*BA70*AV70)</f>
        <v>156.61000000000001</v>
      </c>
      <c r="CU70">
        <f t="shared" ref="CU70:CU75" si="78">AG70</f>
        <v>0</v>
      </c>
      <c r="CV70">
        <f t="shared" ref="CV70:CV75" si="79">(AH70*AV70)</f>
        <v>1.05</v>
      </c>
      <c r="CW70">
        <f t="shared" ref="CW70:CX75" si="80">AI70</f>
        <v>0</v>
      </c>
      <c r="CX70">
        <f t="shared" si="80"/>
        <v>0</v>
      </c>
      <c r="CY70">
        <f t="shared" ref="CY70:CY75" si="81">((S70*BZ70)/100)</f>
        <v>4.9909999999999997</v>
      </c>
      <c r="CZ70">
        <f t="shared" ref="CZ70:CZ75" si="82">((S70*CA70)/100)</f>
        <v>0.71299999999999997</v>
      </c>
      <c r="DC70" t="s">
        <v>3</v>
      </c>
      <c r="DD70" t="s">
        <v>3</v>
      </c>
      <c r="DE70" t="s">
        <v>3</v>
      </c>
      <c r="DF70" t="s">
        <v>3</v>
      </c>
      <c r="DG70" t="s">
        <v>3</v>
      </c>
      <c r="DH70" t="s">
        <v>3</v>
      </c>
      <c r="DI70" t="s">
        <v>3</v>
      </c>
      <c r="DJ70" t="s">
        <v>3</v>
      </c>
      <c r="DK70" t="s">
        <v>3</v>
      </c>
      <c r="DL70" t="s">
        <v>3</v>
      </c>
      <c r="DM70" t="s">
        <v>3</v>
      </c>
      <c r="DN70">
        <v>0</v>
      </c>
      <c r="DO70">
        <v>0</v>
      </c>
      <c r="DP70">
        <v>1</v>
      </c>
      <c r="DQ70">
        <v>1</v>
      </c>
      <c r="DU70">
        <v>1007</v>
      </c>
      <c r="DV70" t="s">
        <v>17</v>
      </c>
      <c r="DW70" t="s">
        <v>17</v>
      </c>
      <c r="DX70">
        <v>100</v>
      </c>
      <c r="EE70">
        <v>34176748</v>
      </c>
      <c r="EF70">
        <v>1</v>
      </c>
      <c r="EG70" t="s">
        <v>19</v>
      </c>
      <c r="EH70">
        <v>0</v>
      </c>
      <c r="EI70" t="s">
        <v>3</v>
      </c>
      <c r="EJ70">
        <v>4</v>
      </c>
      <c r="EK70">
        <v>0</v>
      </c>
      <c r="EL70" t="s">
        <v>20</v>
      </c>
      <c r="EM70" t="s">
        <v>21</v>
      </c>
      <c r="EO70" t="s">
        <v>3</v>
      </c>
      <c r="EQ70">
        <v>0</v>
      </c>
      <c r="ER70">
        <v>5099.91</v>
      </c>
      <c r="ES70">
        <v>0</v>
      </c>
      <c r="ET70">
        <v>4943.3</v>
      </c>
      <c r="EU70">
        <v>2012.38</v>
      </c>
      <c r="EV70">
        <v>156.61000000000001</v>
      </c>
      <c r="EW70">
        <v>1.05</v>
      </c>
      <c r="EX70">
        <v>0</v>
      </c>
      <c r="EY70">
        <v>0</v>
      </c>
      <c r="FQ70">
        <v>0</v>
      </c>
      <c r="FR70">
        <f t="shared" ref="FR70:FR75" si="83">ROUND(IF(AND(BH70=3,BI70=3),P70,0),2)</f>
        <v>0</v>
      </c>
      <c r="FS70">
        <v>0</v>
      </c>
      <c r="FX70">
        <v>70</v>
      </c>
      <c r="FY70">
        <v>10</v>
      </c>
      <c r="GA70" t="s">
        <v>3</v>
      </c>
      <c r="GD70">
        <v>0</v>
      </c>
      <c r="GF70">
        <v>677468817</v>
      </c>
      <c r="GG70">
        <v>2</v>
      </c>
      <c r="GH70">
        <v>1</v>
      </c>
      <c r="GI70">
        <v>-2</v>
      </c>
      <c r="GJ70">
        <v>0</v>
      </c>
      <c r="GK70">
        <f>ROUND(R70*(R12)/100,2)</f>
        <v>98.88</v>
      </c>
      <c r="GL70">
        <f t="shared" ref="GL70:GL75" si="84">ROUND(IF(AND(BH70=3,BI70=3,FS70&lt;&gt;0),P70,0),2)</f>
        <v>0</v>
      </c>
      <c r="GM70">
        <f>ROUND(O70+X70+Y70+GK70,2)+GX70</f>
        <v>336.63</v>
      </c>
      <c r="GN70">
        <f>IF(OR(BI70=0,BI70=1),ROUND(O70+X70+Y70+GK70,2),0)</f>
        <v>0</v>
      </c>
      <c r="GO70">
        <f>IF(BI70=2,ROUND(O70+X70+Y70+GK70,2),0)</f>
        <v>0</v>
      </c>
      <c r="GP70">
        <f>IF(BI70=4,ROUND(O70+X70+Y70+GK70,2)+GX70,0)</f>
        <v>336.63</v>
      </c>
      <c r="GR70">
        <v>0</v>
      </c>
      <c r="GS70">
        <v>3</v>
      </c>
      <c r="GT70">
        <v>0</v>
      </c>
      <c r="GU70" t="s">
        <v>3</v>
      </c>
      <c r="GV70">
        <f t="shared" ref="GV70:GV75" si="85">ROUND(GT70,6)</f>
        <v>0</v>
      </c>
      <c r="GW70">
        <v>1</v>
      </c>
      <c r="GX70">
        <f t="shared" ref="GX70:GX75" si="86">ROUND(GV70*GW70*I70,2)</f>
        <v>0</v>
      </c>
      <c r="HA70">
        <v>0</v>
      </c>
      <c r="HB70">
        <v>0</v>
      </c>
      <c r="IK70">
        <v>0</v>
      </c>
    </row>
    <row r="71" spans="1:245" x14ac:dyDescent="0.2">
      <c r="A71">
        <v>17</v>
      </c>
      <c r="B71">
        <v>1</v>
      </c>
      <c r="C71">
        <f>ROW(SmtRes!A37)</f>
        <v>37</v>
      </c>
      <c r="D71">
        <f>ROW(EtalonRes!A37)</f>
        <v>37</v>
      </c>
      <c r="E71" t="s">
        <v>112</v>
      </c>
      <c r="F71" t="s">
        <v>113</v>
      </c>
      <c r="G71" t="s">
        <v>114</v>
      </c>
      <c r="H71" t="s">
        <v>115</v>
      </c>
      <c r="I71">
        <f>ROUND(I70*100,9)</f>
        <v>4.55</v>
      </c>
      <c r="J71">
        <v>0</v>
      </c>
      <c r="O71">
        <f t="shared" si="61"/>
        <v>256.07</v>
      </c>
      <c r="P71">
        <f t="shared" si="62"/>
        <v>0</v>
      </c>
      <c r="Q71">
        <f t="shared" si="63"/>
        <v>256.07</v>
      </c>
      <c r="R71">
        <f t="shared" si="64"/>
        <v>190.28</v>
      </c>
      <c r="S71">
        <f t="shared" si="65"/>
        <v>0</v>
      </c>
      <c r="T71">
        <f t="shared" si="66"/>
        <v>0</v>
      </c>
      <c r="U71">
        <f t="shared" si="67"/>
        <v>0</v>
      </c>
      <c r="V71">
        <f t="shared" si="68"/>
        <v>0</v>
      </c>
      <c r="W71">
        <f t="shared" si="69"/>
        <v>0</v>
      </c>
      <c r="X71">
        <f t="shared" si="70"/>
        <v>0</v>
      </c>
      <c r="Y71">
        <f t="shared" si="70"/>
        <v>0</v>
      </c>
      <c r="AA71">
        <v>37598633</v>
      </c>
      <c r="AB71">
        <f t="shared" si="71"/>
        <v>56.28</v>
      </c>
      <c r="AC71">
        <f>ROUND((ES71),6)</f>
        <v>0</v>
      </c>
      <c r="AD71">
        <f>ROUND((((ET71)-(EU71))+AE71),6)</f>
        <v>56.28</v>
      </c>
      <c r="AE71">
        <f>ROUND((EU71),6)</f>
        <v>41.82</v>
      </c>
      <c r="AF71">
        <f>ROUND((EV71),6)</f>
        <v>0</v>
      </c>
      <c r="AG71">
        <f t="shared" si="72"/>
        <v>0</v>
      </c>
      <c r="AH71">
        <f>(EW71)</f>
        <v>0</v>
      </c>
      <c r="AI71">
        <f>(EX71)</f>
        <v>0</v>
      </c>
      <c r="AJ71">
        <f t="shared" si="73"/>
        <v>0</v>
      </c>
      <c r="AK71">
        <v>56.28</v>
      </c>
      <c r="AL71">
        <v>0</v>
      </c>
      <c r="AM71">
        <v>56.28</v>
      </c>
      <c r="AN71">
        <v>41.82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v>1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4</v>
      </c>
      <c r="BJ71" t="s">
        <v>116</v>
      </c>
      <c r="BM71">
        <v>1</v>
      </c>
      <c r="BN71">
        <v>0</v>
      </c>
      <c r="BO71" t="s">
        <v>3</v>
      </c>
      <c r="BP71">
        <v>0</v>
      </c>
      <c r="BQ71">
        <v>1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4"/>
        <v>256.07</v>
      </c>
      <c r="CQ71">
        <f t="shared" si="75"/>
        <v>0</v>
      </c>
      <c r="CR71">
        <f>((((ET71)*BB71-(EU71)*BS71)+AE71*BS71)*AV71)</f>
        <v>56.28</v>
      </c>
      <c r="CS71">
        <f t="shared" si="76"/>
        <v>41.82</v>
      </c>
      <c r="CT71">
        <f t="shared" si="77"/>
        <v>0</v>
      </c>
      <c r="CU71">
        <f t="shared" si="78"/>
        <v>0</v>
      </c>
      <c r="CV71">
        <f t="shared" si="79"/>
        <v>0</v>
      </c>
      <c r="CW71">
        <f t="shared" si="80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1007</v>
      </c>
      <c r="DV71" t="s">
        <v>115</v>
      </c>
      <c r="DW71" t="s">
        <v>115</v>
      </c>
      <c r="DX71">
        <v>1</v>
      </c>
      <c r="EE71">
        <v>34176750</v>
      </c>
      <c r="EF71">
        <v>1</v>
      </c>
      <c r="EG71" t="s">
        <v>19</v>
      </c>
      <c r="EH71">
        <v>0</v>
      </c>
      <c r="EI71" t="s">
        <v>3</v>
      </c>
      <c r="EJ71">
        <v>4</v>
      </c>
      <c r="EK71">
        <v>1</v>
      </c>
      <c r="EL71" t="s">
        <v>35</v>
      </c>
      <c r="EM71" t="s">
        <v>21</v>
      </c>
      <c r="EO71" t="s">
        <v>3</v>
      </c>
      <c r="EQ71">
        <v>0</v>
      </c>
      <c r="ER71">
        <v>56.28</v>
      </c>
      <c r="ES71">
        <v>0</v>
      </c>
      <c r="ET71">
        <v>56.28</v>
      </c>
      <c r="EU71">
        <v>41.82</v>
      </c>
      <c r="EV71">
        <v>0</v>
      </c>
      <c r="EW71">
        <v>0</v>
      </c>
      <c r="EX71">
        <v>0</v>
      </c>
      <c r="EY71">
        <v>0</v>
      </c>
      <c r="FQ71">
        <v>0</v>
      </c>
      <c r="FR71">
        <f t="shared" si="83"/>
        <v>0</v>
      </c>
      <c r="FS71">
        <v>0</v>
      </c>
      <c r="FX71">
        <v>0</v>
      </c>
      <c r="FY71">
        <v>0</v>
      </c>
      <c r="GA71" t="s">
        <v>3</v>
      </c>
      <c r="GD71">
        <v>1</v>
      </c>
      <c r="GF71">
        <v>-636474766</v>
      </c>
      <c r="GG71">
        <v>2</v>
      </c>
      <c r="GH71">
        <v>1</v>
      </c>
      <c r="GI71">
        <v>-2</v>
      </c>
      <c r="GJ71">
        <v>0</v>
      </c>
      <c r="GK71">
        <v>0</v>
      </c>
      <c r="GL71">
        <f t="shared" si="84"/>
        <v>0</v>
      </c>
      <c r="GM71">
        <f>ROUND(O71+X71+Y71,2)+GX71</f>
        <v>256.07</v>
      </c>
      <c r="GN71">
        <f>IF(OR(BI71=0,BI71=1),ROUND(O71+X71+Y71,2),0)</f>
        <v>0</v>
      </c>
      <c r="GO71">
        <f>IF(BI71=2,ROUND(O71+X71+Y71,2),0)</f>
        <v>0</v>
      </c>
      <c r="GP71">
        <f>IF(BI71=4,ROUND(O71+X71+Y71,2)+GX71,0)</f>
        <v>256.07</v>
      </c>
      <c r="GR71">
        <v>0</v>
      </c>
      <c r="GS71">
        <v>3</v>
      </c>
      <c r="GT71">
        <v>0</v>
      </c>
      <c r="GU71" t="s">
        <v>3</v>
      </c>
      <c r="GV71">
        <f t="shared" si="85"/>
        <v>0</v>
      </c>
      <c r="GW71">
        <v>1</v>
      </c>
      <c r="GX71">
        <f t="shared" si="86"/>
        <v>0</v>
      </c>
      <c r="HA71">
        <v>0</v>
      </c>
      <c r="HB71">
        <v>0</v>
      </c>
      <c r="IK71">
        <v>0</v>
      </c>
    </row>
    <row r="72" spans="1:245" x14ac:dyDescent="0.2">
      <c r="A72">
        <v>17</v>
      </c>
      <c r="B72">
        <v>1</v>
      </c>
      <c r="C72">
        <f>ROW(SmtRes!A38)</f>
        <v>38</v>
      </c>
      <c r="D72">
        <f>ROW(EtalonRes!A38)</f>
        <v>38</v>
      </c>
      <c r="E72" t="s">
        <v>117</v>
      </c>
      <c r="F72" t="s">
        <v>118</v>
      </c>
      <c r="G72" t="s">
        <v>119</v>
      </c>
      <c r="H72" t="s">
        <v>115</v>
      </c>
      <c r="I72">
        <f>ROUND(I71,9)</f>
        <v>4.55</v>
      </c>
      <c r="J72">
        <v>0</v>
      </c>
      <c r="O72">
        <f t="shared" si="61"/>
        <v>2148.33</v>
      </c>
      <c r="P72">
        <f t="shared" si="62"/>
        <v>0</v>
      </c>
      <c r="Q72">
        <f t="shared" si="63"/>
        <v>2148.33</v>
      </c>
      <c r="R72">
        <f t="shared" si="64"/>
        <v>1595.87</v>
      </c>
      <c r="S72">
        <f t="shared" si="65"/>
        <v>0</v>
      </c>
      <c r="T72">
        <f t="shared" si="66"/>
        <v>0</v>
      </c>
      <c r="U72">
        <f t="shared" si="67"/>
        <v>0</v>
      </c>
      <c r="V72">
        <f t="shared" si="68"/>
        <v>0</v>
      </c>
      <c r="W72">
        <f t="shared" si="69"/>
        <v>0</v>
      </c>
      <c r="X72">
        <f t="shared" si="70"/>
        <v>0</v>
      </c>
      <c r="Y72">
        <f t="shared" si="70"/>
        <v>0</v>
      </c>
      <c r="AA72">
        <v>37598633</v>
      </c>
      <c r="AB72">
        <f t="shared" si="71"/>
        <v>472.16</v>
      </c>
      <c r="AC72">
        <f>ROUND((ES72),6)</f>
        <v>0</v>
      </c>
      <c r="AD72">
        <f>ROUND(((((ET72*26))-((EU72*26)))+AE72),6)</f>
        <v>472.16</v>
      </c>
      <c r="AE72">
        <f>ROUND(((EU72*26)),6)</f>
        <v>350.74</v>
      </c>
      <c r="AF72">
        <f>ROUND(((EV72*26)),6)</f>
        <v>0</v>
      </c>
      <c r="AG72">
        <f t="shared" si="72"/>
        <v>0</v>
      </c>
      <c r="AH72">
        <f>((EW72*26))</f>
        <v>0</v>
      </c>
      <c r="AI72">
        <f>((EX72*26))</f>
        <v>0</v>
      </c>
      <c r="AJ72">
        <f t="shared" si="73"/>
        <v>0</v>
      </c>
      <c r="AK72">
        <v>18.16</v>
      </c>
      <c r="AL72">
        <v>0</v>
      </c>
      <c r="AM72">
        <v>18.16</v>
      </c>
      <c r="AN72">
        <v>13.49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1</v>
      </c>
      <c r="AW72">
        <v>1</v>
      </c>
      <c r="AZ72">
        <v>1</v>
      </c>
      <c r="BA72">
        <v>1</v>
      </c>
      <c r="BB72">
        <v>1</v>
      </c>
      <c r="BC72">
        <v>1</v>
      </c>
      <c r="BD72" t="s">
        <v>3</v>
      </c>
      <c r="BE72" t="s">
        <v>3</v>
      </c>
      <c r="BF72" t="s">
        <v>3</v>
      </c>
      <c r="BG72" t="s">
        <v>3</v>
      </c>
      <c r="BH72">
        <v>0</v>
      </c>
      <c r="BI72">
        <v>4</v>
      </c>
      <c r="BJ72" t="s">
        <v>120</v>
      </c>
      <c r="BM72">
        <v>1</v>
      </c>
      <c r="BN72">
        <v>0</v>
      </c>
      <c r="BO72" t="s">
        <v>3</v>
      </c>
      <c r="BP72">
        <v>0</v>
      </c>
      <c r="BQ72">
        <v>1</v>
      </c>
      <c r="BR72">
        <v>0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Y72" t="s">
        <v>3</v>
      </c>
      <c r="BZ72">
        <v>0</v>
      </c>
      <c r="CA72">
        <v>0</v>
      </c>
      <c r="CF72">
        <v>0</v>
      </c>
      <c r="CG72">
        <v>0</v>
      </c>
      <c r="CM72">
        <v>0</v>
      </c>
      <c r="CN72" t="s">
        <v>3</v>
      </c>
      <c r="CO72">
        <v>0</v>
      </c>
      <c r="CP72">
        <f t="shared" si="74"/>
        <v>2148.33</v>
      </c>
      <c r="CQ72">
        <f t="shared" si="75"/>
        <v>0</v>
      </c>
      <c r="CR72">
        <f>(((((ET72*26))*BB72-((EU72*26))*BS72)+AE72*BS72)*AV72)</f>
        <v>472.16</v>
      </c>
      <c r="CS72">
        <f t="shared" si="76"/>
        <v>350.74</v>
      </c>
      <c r="CT72">
        <f t="shared" si="77"/>
        <v>0</v>
      </c>
      <c r="CU72">
        <f t="shared" si="78"/>
        <v>0</v>
      </c>
      <c r="CV72">
        <f t="shared" si="79"/>
        <v>0</v>
      </c>
      <c r="CW72">
        <f t="shared" si="80"/>
        <v>0</v>
      </c>
      <c r="CX72">
        <f t="shared" si="80"/>
        <v>0</v>
      </c>
      <c r="CY72">
        <f t="shared" si="81"/>
        <v>0</v>
      </c>
      <c r="CZ72">
        <f t="shared" si="82"/>
        <v>0</v>
      </c>
      <c r="DC72" t="s">
        <v>3</v>
      </c>
      <c r="DD72" t="s">
        <v>3</v>
      </c>
      <c r="DE72" t="s">
        <v>121</v>
      </c>
      <c r="DF72" t="s">
        <v>121</v>
      </c>
      <c r="DG72" t="s">
        <v>121</v>
      </c>
      <c r="DH72" t="s">
        <v>3</v>
      </c>
      <c r="DI72" t="s">
        <v>121</v>
      </c>
      <c r="DJ72" t="s">
        <v>121</v>
      </c>
      <c r="DK72" t="s">
        <v>3</v>
      </c>
      <c r="DL72" t="s">
        <v>3</v>
      </c>
      <c r="DM72" t="s">
        <v>3</v>
      </c>
      <c r="DN72">
        <v>0</v>
      </c>
      <c r="DO72">
        <v>0</v>
      </c>
      <c r="DP72">
        <v>1</v>
      </c>
      <c r="DQ72">
        <v>1</v>
      </c>
      <c r="DU72">
        <v>1007</v>
      </c>
      <c r="DV72" t="s">
        <v>115</v>
      </c>
      <c r="DW72" t="s">
        <v>115</v>
      </c>
      <c r="DX72">
        <v>1</v>
      </c>
      <c r="EE72">
        <v>34176750</v>
      </c>
      <c r="EF72">
        <v>1</v>
      </c>
      <c r="EG72" t="s">
        <v>19</v>
      </c>
      <c r="EH72">
        <v>0</v>
      </c>
      <c r="EI72" t="s">
        <v>3</v>
      </c>
      <c r="EJ72">
        <v>4</v>
      </c>
      <c r="EK72">
        <v>1</v>
      </c>
      <c r="EL72" t="s">
        <v>35</v>
      </c>
      <c r="EM72" t="s">
        <v>21</v>
      </c>
      <c r="EO72" t="s">
        <v>3</v>
      </c>
      <c r="EQ72">
        <v>0</v>
      </c>
      <c r="ER72">
        <v>18.16</v>
      </c>
      <c r="ES72">
        <v>0</v>
      </c>
      <c r="ET72">
        <v>18.16</v>
      </c>
      <c r="EU72">
        <v>13.49</v>
      </c>
      <c r="EV72">
        <v>0</v>
      </c>
      <c r="EW72">
        <v>0</v>
      </c>
      <c r="EX72">
        <v>0</v>
      </c>
      <c r="EY72">
        <v>0</v>
      </c>
      <c r="FQ72">
        <v>0</v>
      </c>
      <c r="FR72">
        <f t="shared" si="83"/>
        <v>0</v>
      </c>
      <c r="FS72">
        <v>0</v>
      </c>
      <c r="FX72">
        <v>0</v>
      </c>
      <c r="FY72">
        <v>0</v>
      </c>
      <c r="GA72" t="s">
        <v>3</v>
      </c>
      <c r="GD72">
        <v>1</v>
      </c>
      <c r="GF72">
        <v>-514901743</v>
      </c>
      <c r="GG72">
        <v>2</v>
      </c>
      <c r="GH72">
        <v>1</v>
      </c>
      <c r="GI72">
        <v>-2</v>
      </c>
      <c r="GJ72">
        <v>0</v>
      </c>
      <c r="GK72">
        <v>0</v>
      </c>
      <c r="GL72">
        <f t="shared" si="84"/>
        <v>0</v>
      </c>
      <c r="GM72">
        <f>ROUND(O72+X72+Y72,2)+GX72</f>
        <v>2148.33</v>
      </c>
      <c r="GN72">
        <f>IF(OR(BI72=0,BI72=1),ROUND(O72+X72+Y72,2),0)</f>
        <v>0</v>
      </c>
      <c r="GO72">
        <f>IF(BI72=2,ROUND(O72+X72+Y72,2),0)</f>
        <v>0</v>
      </c>
      <c r="GP72">
        <f>IF(BI72=4,ROUND(O72+X72+Y72,2)+GX72,0)</f>
        <v>2148.33</v>
      </c>
      <c r="GR72">
        <v>0</v>
      </c>
      <c r="GS72">
        <v>3</v>
      </c>
      <c r="GT72">
        <v>0</v>
      </c>
      <c r="GU72" t="s">
        <v>3</v>
      </c>
      <c r="GV72">
        <f t="shared" si="85"/>
        <v>0</v>
      </c>
      <c r="GW72">
        <v>1</v>
      </c>
      <c r="GX72">
        <f t="shared" si="86"/>
        <v>0</v>
      </c>
      <c r="HA72">
        <v>0</v>
      </c>
      <c r="HB72">
        <v>0</v>
      </c>
      <c r="IK72">
        <v>0</v>
      </c>
    </row>
    <row r="73" spans="1:245" x14ac:dyDescent="0.2">
      <c r="A73">
        <v>17</v>
      </c>
      <c r="B73">
        <v>1</v>
      </c>
      <c r="C73">
        <f>ROW(SmtRes!A46)</f>
        <v>46</v>
      </c>
      <c r="D73">
        <f>ROW(EtalonRes!A46)</f>
        <v>46</v>
      </c>
      <c r="E73" t="s">
        <v>122</v>
      </c>
      <c r="F73" t="s">
        <v>42</v>
      </c>
      <c r="G73" t="s">
        <v>43</v>
      </c>
      <c r="H73" t="s">
        <v>17</v>
      </c>
      <c r="I73">
        <f>ROUND(13*0.1/100,9)</f>
        <v>1.2999999999999999E-2</v>
      </c>
      <c r="J73">
        <v>0</v>
      </c>
      <c r="O73">
        <f t="shared" si="61"/>
        <v>928.08</v>
      </c>
      <c r="P73">
        <f t="shared" si="62"/>
        <v>801.57</v>
      </c>
      <c r="Q73">
        <f t="shared" si="63"/>
        <v>93.26</v>
      </c>
      <c r="R73">
        <f t="shared" si="64"/>
        <v>34.71</v>
      </c>
      <c r="S73">
        <f t="shared" si="65"/>
        <v>33.25</v>
      </c>
      <c r="T73">
        <f t="shared" si="66"/>
        <v>0</v>
      </c>
      <c r="U73">
        <f t="shared" si="67"/>
        <v>0.21527999999999997</v>
      </c>
      <c r="V73">
        <f t="shared" si="68"/>
        <v>0</v>
      </c>
      <c r="W73">
        <f t="shared" si="69"/>
        <v>0</v>
      </c>
      <c r="X73">
        <f t="shared" si="70"/>
        <v>23.28</v>
      </c>
      <c r="Y73">
        <f t="shared" si="70"/>
        <v>3.33</v>
      </c>
      <c r="AA73">
        <v>37598633</v>
      </c>
      <c r="AB73">
        <f t="shared" si="71"/>
        <v>71390.39</v>
      </c>
      <c r="AC73">
        <f>ROUND((ES73),6)</f>
        <v>61659.15</v>
      </c>
      <c r="AD73">
        <f>ROUND((((ET73)-(EU73))+AE73),6)</f>
        <v>7173.55</v>
      </c>
      <c r="AE73">
        <f t="shared" ref="AE73:AF75" si="87">ROUND((EU73),6)</f>
        <v>2669.64</v>
      </c>
      <c r="AF73">
        <f t="shared" si="87"/>
        <v>2557.69</v>
      </c>
      <c r="AG73">
        <f t="shared" si="72"/>
        <v>0</v>
      </c>
      <c r="AH73">
        <f t="shared" ref="AH73:AI75" si="88">(EW73)</f>
        <v>16.559999999999999</v>
      </c>
      <c r="AI73">
        <f t="shared" si="88"/>
        <v>0</v>
      </c>
      <c r="AJ73">
        <f t="shared" si="73"/>
        <v>0</v>
      </c>
      <c r="AK73">
        <v>71390.39</v>
      </c>
      <c r="AL73">
        <v>61659.15</v>
      </c>
      <c r="AM73">
        <v>7173.55</v>
      </c>
      <c r="AN73">
        <v>2669.64</v>
      </c>
      <c r="AO73">
        <v>2557.69</v>
      </c>
      <c r="AP73">
        <v>0</v>
      </c>
      <c r="AQ73">
        <v>16.559999999999999</v>
      </c>
      <c r="AR73">
        <v>0</v>
      </c>
      <c r="AS73">
        <v>0</v>
      </c>
      <c r="AT73">
        <v>70</v>
      </c>
      <c r="AU73">
        <v>10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1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4</v>
      </c>
      <c r="BJ73" t="s">
        <v>44</v>
      </c>
      <c r="BM73">
        <v>0</v>
      </c>
      <c r="BN73">
        <v>0</v>
      </c>
      <c r="BO73" t="s">
        <v>3</v>
      </c>
      <c r="BP73">
        <v>0</v>
      </c>
      <c r="BQ73">
        <v>1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70</v>
      </c>
      <c r="CA73">
        <v>10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4"/>
        <v>928.08</v>
      </c>
      <c r="CQ73">
        <f t="shared" si="75"/>
        <v>61659.15</v>
      </c>
      <c r="CR73">
        <f>((((ET73)*BB73-(EU73)*BS73)+AE73*BS73)*AV73)</f>
        <v>7173.5499999999993</v>
      </c>
      <c r="CS73">
        <f t="shared" si="76"/>
        <v>2669.64</v>
      </c>
      <c r="CT73">
        <f t="shared" si="77"/>
        <v>2557.69</v>
      </c>
      <c r="CU73">
        <f t="shared" si="78"/>
        <v>0</v>
      </c>
      <c r="CV73">
        <f t="shared" si="79"/>
        <v>16.559999999999999</v>
      </c>
      <c r="CW73">
        <f t="shared" si="80"/>
        <v>0</v>
      </c>
      <c r="CX73">
        <f t="shared" si="80"/>
        <v>0</v>
      </c>
      <c r="CY73">
        <f t="shared" si="81"/>
        <v>23.274999999999999</v>
      </c>
      <c r="CZ73">
        <f t="shared" si="82"/>
        <v>3.3250000000000002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1007</v>
      </c>
      <c r="DV73" t="s">
        <v>17</v>
      </c>
      <c r="DW73" t="s">
        <v>17</v>
      </c>
      <c r="DX73">
        <v>100</v>
      </c>
      <c r="EE73">
        <v>34176748</v>
      </c>
      <c r="EF73">
        <v>1</v>
      </c>
      <c r="EG73" t="s">
        <v>19</v>
      </c>
      <c r="EH73">
        <v>0</v>
      </c>
      <c r="EI73" t="s">
        <v>3</v>
      </c>
      <c r="EJ73">
        <v>4</v>
      </c>
      <c r="EK73">
        <v>0</v>
      </c>
      <c r="EL73" t="s">
        <v>20</v>
      </c>
      <c r="EM73" t="s">
        <v>21</v>
      </c>
      <c r="EO73" t="s">
        <v>3</v>
      </c>
      <c r="EQ73">
        <v>0</v>
      </c>
      <c r="ER73">
        <v>71390.39</v>
      </c>
      <c r="ES73">
        <v>61659.15</v>
      </c>
      <c r="ET73">
        <v>7173.55</v>
      </c>
      <c r="EU73">
        <v>2669.64</v>
      </c>
      <c r="EV73">
        <v>2557.69</v>
      </c>
      <c r="EW73">
        <v>16.559999999999999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X73">
        <v>70</v>
      </c>
      <c r="FY73">
        <v>10</v>
      </c>
      <c r="GA73" t="s">
        <v>3</v>
      </c>
      <c r="GD73">
        <v>0</v>
      </c>
      <c r="GF73">
        <v>-1632936602</v>
      </c>
      <c r="GG73">
        <v>2</v>
      </c>
      <c r="GH73">
        <v>1</v>
      </c>
      <c r="GI73">
        <v>-2</v>
      </c>
      <c r="GJ73">
        <v>0</v>
      </c>
      <c r="GK73">
        <f>ROUND(R73*(R12)/100,2)</f>
        <v>37.49</v>
      </c>
      <c r="GL73">
        <f t="shared" si="84"/>
        <v>0</v>
      </c>
      <c r="GM73">
        <f>ROUND(O73+X73+Y73+GK73,2)+GX73</f>
        <v>992.18</v>
      </c>
      <c r="GN73">
        <f>IF(OR(BI73=0,BI73=1),ROUND(O73+X73+Y73+GK73,2),0)</f>
        <v>0</v>
      </c>
      <c r="GO73">
        <f>IF(BI73=2,ROUND(O73+X73+Y73+GK73,2),0)</f>
        <v>0</v>
      </c>
      <c r="GP73">
        <f>IF(BI73=4,ROUND(O73+X73+Y73+GK73,2)+GX73,0)</f>
        <v>992.18</v>
      </c>
      <c r="GR73">
        <v>0</v>
      </c>
      <c r="GS73">
        <v>3</v>
      </c>
      <c r="GT73">
        <v>0</v>
      </c>
      <c r="GU73" t="s">
        <v>3</v>
      </c>
      <c r="GV73">
        <f t="shared" si="85"/>
        <v>0</v>
      </c>
      <c r="GW73">
        <v>1</v>
      </c>
      <c r="GX73">
        <f t="shared" si="86"/>
        <v>0</v>
      </c>
      <c r="HA73">
        <v>0</v>
      </c>
      <c r="HB73">
        <v>0</v>
      </c>
      <c r="IK73">
        <v>0</v>
      </c>
    </row>
    <row r="74" spans="1:245" x14ac:dyDescent="0.2">
      <c r="A74">
        <v>17</v>
      </c>
      <c r="B74">
        <v>1</v>
      </c>
      <c r="C74">
        <f>ROW(SmtRes!A55)</f>
        <v>55</v>
      </c>
      <c r="D74">
        <f>ROW(EtalonRes!A55)</f>
        <v>55</v>
      </c>
      <c r="E74" t="s">
        <v>123</v>
      </c>
      <c r="F74" t="s">
        <v>46</v>
      </c>
      <c r="G74" t="s">
        <v>47</v>
      </c>
      <c r="H74" t="s">
        <v>17</v>
      </c>
      <c r="I74">
        <f>ROUND(I73,9)</f>
        <v>1.2999999999999999E-2</v>
      </c>
      <c r="J74">
        <v>0</v>
      </c>
      <c r="O74">
        <f t="shared" si="61"/>
        <v>3745.62</v>
      </c>
      <c r="P74">
        <f t="shared" si="62"/>
        <v>3132.8</v>
      </c>
      <c r="Q74">
        <f t="shared" si="63"/>
        <v>562.94000000000005</v>
      </c>
      <c r="R74">
        <f t="shared" si="64"/>
        <v>206.63</v>
      </c>
      <c r="S74">
        <f t="shared" si="65"/>
        <v>49.88</v>
      </c>
      <c r="T74">
        <f t="shared" si="66"/>
        <v>0</v>
      </c>
      <c r="U74">
        <f t="shared" si="67"/>
        <v>0.32291999999999998</v>
      </c>
      <c r="V74">
        <f t="shared" si="68"/>
        <v>0</v>
      </c>
      <c r="W74">
        <f t="shared" si="69"/>
        <v>0</v>
      </c>
      <c r="X74">
        <f t="shared" si="70"/>
        <v>34.92</v>
      </c>
      <c r="Y74">
        <f t="shared" si="70"/>
        <v>4.99</v>
      </c>
      <c r="AA74">
        <v>37598633</v>
      </c>
      <c r="AB74">
        <f t="shared" si="71"/>
        <v>288124.17</v>
      </c>
      <c r="AC74">
        <f>ROUND((ES74),6)</f>
        <v>240984.87</v>
      </c>
      <c r="AD74">
        <f>ROUND((((ET74)-(EU74))+AE74),6)</f>
        <v>43302.76</v>
      </c>
      <c r="AE74">
        <f t="shared" si="87"/>
        <v>15894.37</v>
      </c>
      <c r="AF74">
        <f t="shared" si="87"/>
        <v>3836.54</v>
      </c>
      <c r="AG74">
        <f t="shared" si="72"/>
        <v>0</v>
      </c>
      <c r="AH74">
        <f t="shared" si="88"/>
        <v>24.84</v>
      </c>
      <c r="AI74">
        <f t="shared" si="88"/>
        <v>0</v>
      </c>
      <c r="AJ74">
        <f t="shared" si="73"/>
        <v>0</v>
      </c>
      <c r="AK74">
        <v>288124.17</v>
      </c>
      <c r="AL74">
        <v>240984.87</v>
      </c>
      <c r="AM74">
        <v>43302.76</v>
      </c>
      <c r="AN74">
        <v>15894.37</v>
      </c>
      <c r="AO74">
        <v>3836.54</v>
      </c>
      <c r="AP74">
        <v>0</v>
      </c>
      <c r="AQ74">
        <v>24.84</v>
      </c>
      <c r="AR74">
        <v>0</v>
      </c>
      <c r="AS74">
        <v>0</v>
      </c>
      <c r="AT74">
        <v>70</v>
      </c>
      <c r="AU74">
        <v>10</v>
      </c>
      <c r="AV74">
        <v>1</v>
      </c>
      <c r="AW74">
        <v>1</v>
      </c>
      <c r="AZ74">
        <v>1</v>
      </c>
      <c r="BA74">
        <v>1</v>
      </c>
      <c r="BB74">
        <v>1</v>
      </c>
      <c r="BC74">
        <v>1</v>
      </c>
      <c r="BD74" t="s">
        <v>3</v>
      </c>
      <c r="BE74" t="s">
        <v>3</v>
      </c>
      <c r="BF74" t="s">
        <v>3</v>
      </c>
      <c r="BG74" t="s">
        <v>3</v>
      </c>
      <c r="BH74">
        <v>0</v>
      </c>
      <c r="BI74">
        <v>4</v>
      </c>
      <c r="BJ74" t="s">
        <v>48</v>
      </c>
      <c r="BM74">
        <v>0</v>
      </c>
      <c r="BN74">
        <v>0</v>
      </c>
      <c r="BO74" t="s">
        <v>3</v>
      </c>
      <c r="BP74">
        <v>0</v>
      </c>
      <c r="BQ74">
        <v>1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Y74" t="s">
        <v>3</v>
      </c>
      <c r="BZ74">
        <v>70</v>
      </c>
      <c r="CA74">
        <v>10</v>
      </c>
      <c r="CF74">
        <v>0</v>
      </c>
      <c r="CG74">
        <v>0</v>
      </c>
      <c r="CM74">
        <v>0</v>
      </c>
      <c r="CN74" t="s">
        <v>3</v>
      </c>
      <c r="CO74">
        <v>0</v>
      </c>
      <c r="CP74">
        <f t="shared" si="74"/>
        <v>3745.6200000000003</v>
      </c>
      <c r="CQ74">
        <f t="shared" si="75"/>
        <v>240984.87</v>
      </c>
      <c r="CR74">
        <f>((((ET74)*BB74-(EU74)*BS74)+AE74*BS74)*AV74)</f>
        <v>43302.76</v>
      </c>
      <c r="CS74">
        <f t="shared" si="76"/>
        <v>15894.37</v>
      </c>
      <c r="CT74">
        <f t="shared" si="77"/>
        <v>3836.54</v>
      </c>
      <c r="CU74">
        <f t="shared" si="78"/>
        <v>0</v>
      </c>
      <c r="CV74">
        <f t="shared" si="79"/>
        <v>24.84</v>
      </c>
      <c r="CW74">
        <f t="shared" si="80"/>
        <v>0</v>
      </c>
      <c r="CX74">
        <f t="shared" si="80"/>
        <v>0</v>
      </c>
      <c r="CY74">
        <f t="shared" si="81"/>
        <v>34.916000000000004</v>
      </c>
      <c r="CZ74">
        <f t="shared" si="82"/>
        <v>4.9880000000000004</v>
      </c>
      <c r="DC74" t="s">
        <v>3</v>
      </c>
      <c r="DD74" t="s">
        <v>3</v>
      </c>
      <c r="DE74" t="s">
        <v>3</v>
      </c>
      <c r="DF74" t="s">
        <v>3</v>
      </c>
      <c r="DG74" t="s">
        <v>3</v>
      </c>
      <c r="DH74" t="s">
        <v>3</v>
      </c>
      <c r="DI74" t="s">
        <v>3</v>
      </c>
      <c r="DJ74" t="s">
        <v>3</v>
      </c>
      <c r="DK74" t="s">
        <v>3</v>
      </c>
      <c r="DL74" t="s">
        <v>3</v>
      </c>
      <c r="DM74" t="s">
        <v>3</v>
      </c>
      <c r="DN74">
        <v>0</v>
      </c>
      <c r="DO74">
        <v>0</v>
      </c>
      <c r="DP74">
        <v>1</v>
      </c>
      <c r="DQ74">
        <v>1</v>
      </c>
      <c r="DU74">
        <v>1007</v>
      </c>
      <c r="DV74" t="s">
        <v>17</v>
      </c>
      <c r="DW74" t="s">
        <v>17</v>
      </c>
      <c r="DX74">
        <v>100</v>
      </c>
      <c r="EE74">
        <v>34176748</v>
      </c>
      <c r="EF74">
        <v>1</v>
      </c>
      <c r="EG74" t="s">
        <v>19</v>
      </c>
      <c r="EH74">
        <v>0</v>
      </c>
      <c r="EI74" t="s">
        <v>3</v>
      </c>
      <c r="EJ74">
        <v>4</v>
      </c>
      <c r="EK74">
        <v>0</v>
      </c>
      <c r="EL74" t="s">
        <v>20</v>
      </c>
      <c r="EM74" t="s">
        <v>21</v>
      </c>
      <c r="EO74" t="s">
        <v>3</v>
      </c>
      <c r="EQ74">
        <v>0</v>
      </c>
      <c r="ER74">
        <v>288124.17</v>
      </c>
      <c r="ES74">
        <v>240984.87</v>
      </c>
      <c r="ET74">
        <v>43302.76</v>
      </c>
      <c r="EU74">
        <v>15894.37</v>
      </c>
      <c r="EV74">
        <v>3836.54</v>
      </c>
      <c r="EW74">
        <v>24.84</v>
      </c>
      <c r="EX74">
        <v>0</v>
      </c>
      <c r="EY74">
        <v>0</v>
      </c>
      <c r="FQ74">
        <v>0</v>
      </c>
      <c r="FR74">
        <f t="shared" si="83"/>
        <v>0</v>
      </c>
      <c r="FS74">
        <v>0</v>
      </c>
      <c r="FX74">
        <v>70</v>
      </c>
      <c r="FY74">
        <v>10</v>
      </c>
      <c r="GA74" t="s">
        <v>3</v>
      </c>
      <c r="GD74">
        <v>0</v>
      </c>
      <c r="GF74">
        <v>-2078164180</v>
      </c>
      <c r="GG74">
        <v>2</v>
      </c>
      <c r="GH74">
        <v>1</v>
      </c>
      <c r="GI74">
        <v>-2</v>
      </c>
      <c r="GJ74">
        <v>0</v>
      </c>
      <c r="GK74">
        <f>ROUND(R74*(R12)/100,2)</f>
        <v>223.16</v>
      </c>
      <c r="GL74">
        <f t="shared" si="84"/>
        <v>0</v>
      </c>
      <c r="GM74">
        <f>ROUND(O74+X74+Y74+GK74,2)+GX74</f>
        <v>4008.69</v>
      </c>
      <c r="GN74">
        <f>IF(OR(BI74=0,BI74=1),ROUND(O74+X74+Y74+GK74,2),0)</f>
        <v>0</v>
      </c>
      <c r="GO74">
        <f>IF(BI74=2,ROUND(O74+X74+Y74+GK74,2),0)</f>
        <v>0</v>
      </c>
      <c r="GP74">
        <f>IF(BI74=4,ROUND(O74+X74+Y74+GK74,2)+GX74,0)</f>
        <v>4008.69</v>
      </c>
      <c r="GR74">
        <v>0</v>
      </c>
      <c r="GS74">
        <v>3</v>
      </c>
      <c r="GT74">
        <v>0</v>
      </c>
      <c r="GU74" t="s">
        <v>3</v>
      </c>
      <c r="GV74">
        <f t="shared" si="85"/>
        <v>0</v>
      </c>
      <c r="GW74">
        <v>1</v>
      </c>
      <c r="GX74">
        <f t="shared" si="86"/>
        <v>0</v>
      </c>
      <c r="HA74">
        <v>0</v>
      </c>
      <c r="HB74">
        <v>0</v>
      </c>
      <c r="IK74">
        <v>0</v>
      </c>
    </row>
    <row r="75" spans="1:245" x14ac:dyDescent="0.2">
      <c r="A75">
        <v>17</v>
      </c>
      <c r="B75">
        <v>1</v>
      </c>
      <c r="C75">
        <f>ROW(SmtRes!A59)</f>
        <v>59</v>
      </c>
      <c r="D75">
        <f>ROW(EtalonRes!A59)</f>
        <v>59</v>
      </c>
      <c r="E75" t="s">
        <v>124</v>
      </c>
      <c r="F75" t="s">
        <v>50</v>
      </c>
      <c r="G75" t="s">
        <v>125</v>
      </c>
      <c r="H75" t="s">
        <v>52</v>
      </c>
      <c r="I75">
        <f>ROUND(13/100,9)</f>
        <v>0.13</v>
      </c>
      <c r="J75">
        <v>0</v>
      </c>
      <c r="O75">
        <f t="shared" si="61"/>
        <v>4099.08</v>
      </c>
      <c r="P75">
        <f t="shared" si="62"/>
        <v>3603.02</v>
      </c>
      <c r="Q75">
        <f t="shared" si="63"/>
        <v>160.62</v>
      </c>
      <c r="R75">
        <f t="shared" si="64"/>
        <v>93.04</v>
      </c>
      <c r="S75">
        <f t="shared" si="65"/>
        <v>335.44</v>
      </c>
      <c r="T75">
        <f t="shared" si="66"/>
        <v>0</v>
      </c>
      <c r="U75">
        <f t="shared" si="67"/>
        <v>1.7641</v>
      </c>
      <c r="V75">
        <f t="shared" si="68"/>
        <v>0</v>
      </c>
      <c r="W75">
        <f t="shared" si="69"/>
        <v>0</v>
      </c>
      <c r="X75">
        <f t="shared" si="70"/>
        <v>234.81</v>
      </c>
      <c r="Y75">
        <f t="shared" si="70"/>
        <v>33.54</v>
      </c>
      <c r="AA75">
        <v>37598633</v>
      </c>
      <c r="AB75">
        <f t="shared" si="71"/>
        <v>31531.377499999999</v>
      </c>
      <c r="AC75">
        <f>ROUND((((ES75/4)*5)),6)</f>
        <v>27715.537499999999</v>
      </c>
      <c r="AD75">
        <f>ROUND((((ET75)-(EU75))+AE75),6)</f>
        <v>1235.5</v>
      </c>
      <c r="AE75">
        <f t="shared" si="87"/>
        <v>715.73</v>
      </c>
      <c r="AF75">
        <f t="shared" si="87"/>
        <v>2580.34</v>
      </c>
      <c r="AG75">
        <f t="shared" si="72"/>
        <v>0</v>
      </c>
      <c r="AH75">
        <f t="shared" si="88"/>
        <v>13.57</v>
      </c>
      <c r="AI75">
        <f t="shared" si="88"/>
        <v>0</v>
      </c>
      <c r="AJ75">
        <f t="shared" si="73"/>
        <v>0</v>
      </c>
      <c r="AK75">
        <v>25988.27</v>
      </c>
      <c r="AL75">
        <v>22172.43</v>
      </c>
      <c r="AM75">
        <v>1235.5</v>
      </c>
      <c r="AN75">
        <v>715.73</v>
      </c>
      <c r="AO75">
        <v>2580.34</v>
      </c>
      <c r="AP75">
        <v>0</v>
      </c>
      <c r="AQ75">
        <v>13.57</v>
      </c>
      <c r="AR75">
        <v>0</v>
      </c>
      <c r="AS75">
        <v>0</v>
      </c>
      <c r="AT75">
        <v>70</v>
      </c>
      <c r="AU75">
        <v>10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1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4</v>
      </c>
      <c r="BJ75" t="s">
        <v>53</v>
      </c>
      <c r="BM75">
        <v>0</v>
      </c>
      <c r="BN75">
        <v>0</v>
      </c>
      <c r="BO75" t="s">
        <v>3</v>
      </c>
      <c r="BP75">
        <v>0</v>
      </c>
      <c r="BQ75">
        <v>1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70</v>
      </c>
      <c r="CA75">
        <v>10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4"/>
        <v>4099.08</v>
      </c>
      <c r="CQ75">
        <f t="shared" si="75"/>
        <v>27715.537499999999</v>
      </c>
      <c r="CR75">
        <f>((((ET75)*BB75-(EU75)*BS75)+AE75*BS75)*AV75)</f>
        <v>1235.5</v>
      </c>
      <c r="CS75">
        <f t="shared" si="76"/>
        <v>715.73</v>
      </c>
      <c r="CT75">
        <f t="shared" si="77"/>
        <v>2580.34</v>
      </c>
      <c r="CU75">
        <f t="shared" si="78"/>
        <v>0</v>
      </c>
      <c r="CV75">
        <f t="shared" si="79"/>
        <v>13.57</v>
      </c>
      <c r="CW75">
        <f t="shared" si="80"/>
        <v>0</v>
      </c>
      <c r="CX75">
        <f t="shared" si="80"/>
        <v>0</v>
      </c>
      <c r="CY75">
        <f t="shared" si="81"/>
        <v>234.80799999999999</v>
      </c>
      <c r="CZ75">
        <f t="shared" si="82"/>
        <v>33.544000000000004</v>
      </c>
      <c r="DC75" t="s">
        <v>3</v>
      </c>
      <c r="DD75" t="s">
        <v>54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1005</v>
      </c>
      <c r="DV75" t="s">
        <v>52</v>
      </c>
      <c r="DW75" t="s">
        <v>52</v>
      </c>
      <c r="DX75">
        <v>100</v>
      </c>
      <c r="EE75">
        <v>34176748</v>
      </c>
      <c r="EF75">
        <v>1</v>
      </c>
      <c r="EG75" t="s">
        <v>19</v>
      </c>
      <c r="EH75">
        <v>0</v>
      </c>
      <c r="EI75" t="s">
        <v>3</v>
      </c>
      <c r="EJ75">
        <v>4</v>
      </c>
      <c r="EK75">
        <v>0</v>
      </c>
      <c r="EL75" t="s">
        <v>20</v>
      </c>
      <c r="EM75" t="s">
        <v>21</v>
      </c>
      <c r="EO75" t="s">
        <v>3</v>
      </c>
      <c r="EQ75">
        <v>0</v>
      </c>
      <c r="ER75">
        <v>25988.27</v>
      </c>
      <c r="ES75">
        <v>22172.43</v>
      </c>
      <c r="ET75">
        <v>1235.5</v>
      </c>
      <c r="EU75">
        <v>715.73</v>
      </c>
      <c r="EV75">
        <v>2580.34</v>
      </c>
      <c r="EW75">
        <v>13.57</v>
      </c>
      <c r="EX75">
        <v>0</v>
      </c>
      <c r="EY75">
        <v>0</v>
      </c>
      <c r="FQ75">
        <v>0</v>
      </c>
      <c r="FR75">
        <f t="shared" si="83"/>
        <v>0</v>
      </c>
      <c r="FS75">
        <v>0</v>
      </c>
      <c r="FX75">
        <v>70</v>
      </c>
      <c r="FY75">
        <v>10</v>
      </c>
      <c r="GA75" t="s">
        <v>3</v>
      </c>
      <c r="GD75">
        <v>0</v>
      </c>
      <c r="GF75">
        <v>1972566933</v>
      </c>
      <c r="GG75">
        <v>2</v>
      </c>
      <c r="GH75">
        <v>1</v>
      </c>
      <c r="GI75">
        <v>-2</v>
      </c>
      <c r="GJ75">
        <v>0</v>
      </c>
      <c r="GK75">
        <f>ROUND(R75*(R12)/100,2)</f>
        <v>100.48</v>
      </c>
      <c r="GL75">
        <f t="shared" si="84"/>
        <v>0</v>
      </c>
      <c r="GM75">
        <f>ROUND(O75+X75+Y75+GK75,2)+GX75</f>
        <v>4467.91</v>
      </c>
      <c r="GN75">
        <f>IF(OR(BI75=0,BI75=1),ROUND(O75+X75+Y75+GK75,2),0)</f>
        <v>0</v>
      </c>
      <c r="GO75">
        <f>IF(BI75=2,ROUND(O75+X75+Y75+GK75,2),0)</f>
        <v>0</v>
      </c>
      <c r="GP75">
        <f>IF(BI75=4,ROUND(O75+X75+Y75+GK75,2)+GX75,0)</f>
        <v>4467.91</v>
      </c>
      <c r="GR75">
        <v>0</v>
      </c>
      <c r="GS75">
        <v>3</v>
      </c>
      <c r="GT75">
        <v>0</v>
      </c>
      <c r="GU75" t="s">
        <v>3</v>
      </c>
      <c r="GV75">
        <f t="shared" si="85"/>
        <v>0</v>
      </c>
      <c r="GW75">
        <v>1</v>
      </c>
      <c r="GX75">
        <f t="shared" si="86"/>
        <v>0</v>
      </c>
      <c r="HA75">
        <v>0</v>
      </c>
      <c r="HB75">
        <v>0</v>
      </c>
      <c r="IK75">
        <v>0</v>
      </c>
    </row>
    <row r="77" spans="1:245" x14ac:dyDescent="0.2">
      <c r="A77" s="2">
        <v>51</v>
      </c>
      <c r="B77" s="2">
        <f>B66</f>
        <v>1</v>
      </c>
      <c r="C77" s="2">
        <f>A66</f>
        <v>4</v>
      </c>
      <c r="D77" s="2">
        <f>ROW(A66)</f>
        <v>66</v>
      </c>
      <c r="E77" s="2"/>
      <c r="F77" s="2" t="str">
        <f>IF(F66&lt;&gt;"",F66,"")</f>
        <v>Новый раздел</v>
      </c>
      <c r="G77" s="2" t="str">
        <f>IF(G66&lt;&gt;"",G66,"")</f>
        <v>Устройство асфальтобетонного покрытия - 13м2</v>
      </c>
      <c r="H77" s="2">
        <v>0</v>
      </c>
      <c r="I77" s="2"/>
      <c r="J77" s="2"/>
      <c r="K77" s="2"/>
      <c r="L77" s="2"/>
      <c r="M77" s="2"/>
      <c r="N77" s="2"/>
      <c r="O77" s="2">
        <f t="shared" ref="O77:T77" si="89">ROUND(AB77,2)</f>
        <v>11409.23</v>
      </c>
      <c r="P77" s="2">
        <f t="shared" si="89"/>
        <v>7537.39</v>
      </c>
      <c r="Q77" s="2">
        <f t="shared" si="89"/>
        <v>3446.14</v>
      </c>
      <c r="R77" s="2">
        <f t="shared" si="89"/>
        <v>2212.09</v>
      </c>
      <c r="S77" s="2">
        <f t="shared" si="89"/>
        <v>425.7</v>
      </c>
      <c r="T77" s="2">
        <f t="shared" si="89"/>
        <v>0</v>
      </c>
      <c r="U77" s="2">
        <f>AH77</f>
        <v>2.3500749999999999</v>
      </c>
      <c r="V77" s="2">
        <f>AI77</f>
        <v>0</v>
      </c>
      <c r="W77" s="2">
        <f>ROUND(AJ77,2)</f>
        <v>0</v>
      </c>
      <c r="X77" s="2">
        <f>ROUND(AK77,2)</f>
        <v>298</v>
      </c>
      <c r="Y77" s="2">
        <f>ROUND(AL77,2)</f>
        <v>42.57</v>
      </c>
      <c r="Z77" s="2"/>
      <c r="AA77" s="2"/>
      <c r="AB77" s="2">
        <f>ROUND(SUMIF(AA70:AA75,"=37598633",O70:O75),2)</f>
        <v>11409.23</v>
      </c>
      <c r="AC77" s="2">
        <f>ROUND(SUMIF(AA70:AA75,"=37598633",P70:P75),2)</f>
        <v>7537.39</v>
      </c>
      <c r="AD77" s="2">
        <f>ROUND(SUMIF(AA70:AA75,"=37598633",Q70:Q75),2)</f>
        <v>3446.14</v>
      </c>
      <c r="AE77" s="2">
        <f>ROUND(SUMIF(AA70:AA75,"=37598633",R70:R75),2)</f>
        <v>2212.09</v>
      </c>
      <c r="AF77" s="2">
        <f>ROUND(SUMIF(AA70:AA75,"=37598633",S70:S75),2)</f>
        <v>425.7</v>
      </c>
      <c r="AG77" s="2">
        <f>ROUND(SUMIF(AA70:AA75,"=37598633",T70:T75),2)</f>
        <v>0</v>
      </c>
      <c r="AH77" s="2">
        <f>SUMIF(AA70:AA75,"=37598633",U70:U75)</f>
        <v>2.3500749999999999</v>
      </c>
      <c r="AI77" s="2">
        <f>SUMIF(AA70:AA75,"=37598633",V70:V75)</f>
        <v>0</v>
      </c>
      <c r="AJ77" s="2">
        <f>ROUND(SUMIF(AA70:AA75,"=37598633",W70:W75),2)</f>
        <v>0</v>
      </c>
      <c r="AK77" s="2">
        <f>ROUND(SUMIF(AA70:AA75,"=37598633",X70:X75),2)</f>
        <v>298</v>
      </c>
      <c r="AL77" s="2">
        <f>ROUND(SUMIF(AA70:AA75,"=37598633",Y70:Y75),2)</f>
        <v>42.57</v>
      </c>
      <c r="AM77" s="2"/>
      <c r="AN77" s="2"/>
      <c r="AO77" s="2">
        <f t="shared" ref="AO77:BC77" si="90">ROUND(BX77,2)</f>
        <v>0</v>
      </c>
      <c r="AP77" s="2">
        <f t="shared" si="90"/>
        <v>0</v>
      </c>
      <c r="AQ77" s="2">
        <f t="shared" si="90"/>
        <v>0</v>
      </c>
      <c r="AR77" s="2">
        <f t="shared" si="90"/>
        <v>12209.81</v>
      </c>
      <c r="AS77" s="2">
        <f t="shared" si="90"/>
        <v>0</v>
      </c>
      <c r="AT77" s="2">
        <f t="shared" si="90"/>
        <v>0</v>
      </c>
      <c r="AU77" s="2">
        <f t="shared" si="90"/>
        <v>12209.81</v>
      </c>
      <c r="AV77" s="2">
        <f t="shared" si="90"/>
        <v>7537.39</v>
      </c>
      <c r="AW77" s="2">
        <f t="shared" si="90"/>
        <v>7537.39</v>
      </c>
      <c r="AX77" s="2">
        <f t="shared" si="90"/>
        <v>0</v>
      </c>
      <c r="AY77" s="2">
        <f t="shared" si="90"/>
        <v>7537.39</v>
      </c>
      <c r="AZ77" s="2">
        <f t="shared" si="90"/>
        <v>0</v>
      </c>
      <c r="BA77" s="2">
        <f t="shared" si="90"/>
        <v>0</v>
      </c>
      <c r="BB77" s="2">
        <f t="shared" si="90"/>
        <v>0</v>
      </c>
      <c r="BC77" s="2">
        <f t="shared" si="90"/>
        <v>0</v>
      </c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>
        <f>ROUND(SUMIF(AA70:AA75,"=37598633",FQ70:FQ75),2)</f>
        <v>0</v>
      </c>
      <c r="BY77" s="2">
        <f>ROUND(SUMIF(AA70:AA75,"=37598633",FR70:FR75),2)</f>
        <v>0</v>
      </c>
      <c r="BZ77" s="2">
        <f>ROUND(SUMIF(AA70:AA75,"=37598633",GL70:GL75),2)</f>
        <v>0</v>
      </c>
      <c r="CA77" s="2">
        <f>ROUND(SUMIF(AA70:AA75,"=37598633",GM70:GM75),2)</f>
        <v>12209.81</v>
      </c>
      <c r="CB77" s="2">
        <f>ROUND(SUMIF(AA70:AA75,"=37598633",GN70:GN75),2)</f>
        <v>0</v>
      </c>
      <c r="CC77" s="2">
        <f>ROUND(SUMIF(AA70:AA75,"=37598633",GO70:GO75),2)</f>
        <v>0</v>
      </c>
      <c r="CD77" s="2">
        <f>ROUND(SUMIF(AA70:AA75,"=37598633",GP70:GP75),2)</f>
        <v>12209.81</v>
      </c>
      <c r="CE77" s="2">
        <f>AC77-BX77</f>
        <v>7537.39</v>
      </c>
      <c r="CF77" s="2">
        <f>AC77-BY77</f>
        <v>7537.39</v>
      </c>
      <c r="CG77" s="2">
        <f>BX77-BZ77</f>
        <v>0</v>
      </c>
      <c r="CH77" s="2">
        <f>AC77-BX77-BY77+BZ77</f>
        <v>7537.39</v>
      </c>
      <c r="CI77" s="2">
        <f>BY77-BZ77</f>
        <v>0</v>
      </c>
      <c r="CJ77" s="2">
        <f>ROUND(SUMIF(AA70:AA75,"=37598633",GX70:GX75),2)</f>
        <v>0</v>
      </c>
      <c r="CK77" s="2">
        <f>ROUND(SUMIF(AA70:AA75,"=37598633",GY70:GY75),2)</f>
        <v>0</v>
      </c>
      <c r="CL77" s="2">
        <f>ROUND(SUMIF(AA70:AA75,"=37598633",GZ70:GZ75),2)</f>
        <v>0</v>
      </c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>
        <v>0</v>
      </c>
    </row>
    <row r="79" spans="1:245" x14ac:dyDescent="0.2">
      <c r="A79" s="4">
        <v>50</v>
      </c>
      <c r="B79" s="4">
        <v>0</v>
      </c>
      <c r="C79" s="4">
        <v>0</v>
      </c>
      <c r="D79" s="4">
        <v>1</v>
      </c>
      <c r="E79" s="4">
        <v>201</v>
      </c>
      <c r="F79" s="4">
        <f>ROUND(Source!O77,O79)</f>
        <v>11409.23</v>
      </c>
      <c r="G79" s="4" t="s">
        <v>55</v>
      </c>
      <c r="H79" s="4" t="s">
        <v>56</v>
      </c>
      <c r="I79" s="4"/>
      <c r="J79" s="4"/>
      <c r="K79" s="4">
        <v>-201</v>
      </c>
      <c r="L79" s="4">
        <v>1</v>
      </c>
      <c r="M79" s="4">
        <v>3</v>
      </c>
      <c r="N79" s="4" t="s">
        <v>3</v>
      </c>
      <c r="O79" s="4">
        <v>2</v>
      </c>
      <c r="P79" s="4"/>
      <c r="Q79" s="4"/>
      <c r="R79" s="4"/>
      <c r="S79" s="4"/>
      <c r="T79" s="4"/>
      <c r="U79" s="4"/>
      <c r="V79" s="4"/>
      <c r="W79" s="4"/>
    </row>
    <row r="80" spans="1:245" x14ac:dyDescent="0.2">
      <c r="A80" s="4">
        <v>50</v>
      </c>
      <c r="B80" s="4">
        <v>0</v>
      </c>
      <c r="C80" s="4">
        <v>0</v>
      </c>
      <c r="D80" s="4">
        <v>1</v>
      </c>
      <c r="E80" s="4">
        <v>202</v>
      </c>
      <c r="F80" s="4">
        <f>ROUND(Source!P77,O80)</f>
        <v>7537.39</v>
      </c>
      <c r="G80" s="4" t="s">
        <v>57</v>
      </c>
      <c r="H80" s="4" t="s">
        <v>58</v>
      </c>
      <c r="I80" s="4"/>
      <c r="J80" s="4"/>
      <c r="K80" s="4">
        <v>-202</v>
      </c>
      <c r="L80" s="4">
        <v>2</v>
      </c>
      <c r="M80" s="4">
        <v>3</v>
      </c>
      <c r="N80" s="4" t="s">
        <v>3</v>
      </c>
      <c r="O80" s="4">
        <v>2</v>
      </c>
      <c r="P80" s="4"/>
      <c r="Q80" s="4"/>
      <c r="R80" s="4"/>
      <c r="S80" s="4"/>
      <c r="T80" s="4"/>
      <c r="U80" s="4"/>
      <c r="V80" s="4"/>
      <c r="W80" s="4"/>
    </row>
    <row r="81" spans="1:23" x14ac:dyDescent="0.2">
      <c r="A81" s="4">
        <v>50</v>
      </c>
      <c r="B81" s="4">
        <v>0</v>
      </c>
      <c r="C81" s="4">
        <v>0</v>
      </c>
      <c r="D81" s="4">
        <v>1</v>
      </c>
      <c r="E81" s="4">
        <v>222</v>
      </c>
      <c r="F81" s="4">
        <f>ROUND(Source!AO77,O81)</f>
        <v>0</v>
      </c>
      <c r="G81" s="4" t="s">
        <v>59</v>
      </c>
      <c r="H81" s="4" t="s">
        <v>60</v>
      </c>
      <c r="I81" s="4"/>
      <c r="J81" s="4"/>
      <c r="K81" s="4">
        <v>-222</v>
      </c>
      <c r="L81" s="4">
        <v>3</v>
      </c>
      <c r="M81" s="4">
        <v>3</v>
      </c>
      <c r="N81" s="4" t="s">
        <v>3</v>
      </c>
      <c r="O81" s="4">
        <v>2</v>
      </c>
      <c r="P81" s="4"/>
      <c r="Q81" s="4"/>
      <c r="R81" s="4"/>
      <c r="S81" s="4"/>
      <c r="T81" s="4"/>
      <c r="U81" s="4"/>
      <c r="V81" s="4"/>
      <c r="W81" s="4"/>
    </row>
    <row r="82" spans="1:23" x14ac:dyDescent="0.2">
      <c r="A82" s="4">
        <v>50</v>
      </c>
      <c r="B82" s="4">
        <v>0</v>
      </c>
      <c r="C82" s="4">
        <v>0</v>
      </c>
      <c r="D82" s="4">
        <v>1</v>
      </c>
      <c r="E82" s="4">
        <v>225</v>
      </c>
      <c r="F82" s="4">
        <f>ROUND(Source!AV77,O82)</f>
        <v>7537.39</v>
      </c>
      <c r="G82" s="4" t="s">
        <v>61</v>
      </c>
      <c r="H82" s="4" t="s">
        <v>62</v>
      </c>
      <c r="I82" s="4"/>
      <c r="J82" s="4"/>
      <c r="K82" s="4">
        <v>-225</v>
      </c>
      <c r="L82" s="4">
        <v>4</v>
      </c>
      <c r="M82" s="4">
        <v>3</v>
      </c>
      <c r="N82" s="4" t="s">
        <v>3</v>
      </c>
      <c r="O82" s="4">
        <v>2</v>
      </c>
      <c r="P82" s="4"/>
      <c r="Q82" s="4"/>
      <c r="R82" s="4"/>
      <c r="S82" s="4"/>
      <c r="T82" s="4"/>
      <c r="U82" s="4"/>
      <c r="V82" s="4"/>
      <c r="W82" s="4"/>
    </row>
    <row r="83" spans="1:23" x14ac:dyDescent="0.2">
      <c r="A83" s="4">
        <v>50</v>
      </c>
      <c r="B83" s="4">
        <v>0</v>
      </c>
      <c r="C83" s="4">
        <v>0</v>
      </c>
      <c r="D83" s="4">
        <v>1</v>
      </c>
      <c r="E83" s="4">
        <v>226</v>
      </c>
      <c r="F83" s="4">
        <f>ROUND(Source!AW77,O83)</f>
        <v>7537.39</v>
      </c>
      <c r="G83" s="4" t="s">
        <v>63</v>
      </c>
      <c r="H83" s="4" t="s">
        <v>64</v>
      </c>
      <c r="I83" s="4"/>
      <c r="J83" s="4"/>
      <c r="K83" s="4">
        <v>-226</v>
      </c>
      <c r="L83" s="4">
        <v>5</v>
      </c>
      <c r="M83" s="4">
        <v>3</v>
      </c>
      <c r="N83" s="4" t="s">
        <v>3</v>
      </c>
      <c r="O83" s="4">
        <v>2</v>
      </c>
      <c r="P83" s="4"/>
      <c r="Q83" s="4"/>
      <c r="R83" s="4"/>
      <c r="S83" s="4"/>
      <c r="T83" s="4"/>
      <c r="U83" s="4"/>
      <c r="V83" s="4"/>
      <c r="W83" s="4"/>
    </row>
    <row r="84" spans="1:23" x14ac:dyDescent="0.2">
      <c r="A84" s="4">
        <v>50</v>
      </c>
      <c r="B84" s="4">
        <v>0</v>
      </c>
      <c r="C84" s="4">
        <v>0</v>
      </c>
      <c r="D84" s="4">
        <v>1</v>
      </c>
      <c r="E84" s="4">
        <v>227</v>
      </c>
      <c r="F84" s="4">
        <f>ROUND(Source!AX77,O84)</f>
        <v>0</v>
      </c>
      <c r="G84" s="4" t="s">
        <v>65</v>
      </c>
      <c r="H84" s="4" t="s">
        <v>66</v>
      </c>
      <c r="I84" s="4"/>
      <c r="J84" s="4"/>
      <c r="K84" s="4">
        <v>-227</v>
      </c>
      <c r="L84" s="4">
        <v>6</v>
      </c>
      <c r="M84" s="4">
        <v>3</v>
      </c>
      <c r="N84" s="4" t="s">
        <v>3</v>
      </c>
      <c r="O84" s="4">
        <v>2</v>
      </c>
      <c r="P84" s="4"/>
      <c r="Q84" s="4"/>
      <c r="R84" s="4"/>
      <c r="S84" s="4"/>
      <c r="T84" s="4"/>
      <c r="U84" s="4"/>
      <c r="V84" s="4"/>
      <c r="W84" s="4"/>
    </row>
    <row r="85" spans="1:23" x14ac:dyDescent="0.2">
      <c r="A85" s="4">
        <v>50</v>
      </c>
      <c r="B85" s="4">
        <v>0</v>
      </c>
      <c r="C85" s="4">
        <v>0</v>
      </c>
      <c r="D85" s="4">
        <v>1</v>
      </c>
      <c r="E85" s="4">
        <v>228</v>
      </c>
      <c r="F85" s="4">
        <f>ROUND(Source!AY77,O85)</f>
        <v>7537.39</v>
      </c>
      <c r="G85" s="4" t="s">
        <v>67</v>
      </c>
      <c r="H85" s="4" t="s">
        <v>68</v>
      </c>
      <c r="I85" s="4"/>
      <c r="J85" s="4"/>
      <c r="K85" s="4">
        <v>-228</v>
      </c>
      <c r="L85" s="4">
        <v>7</v>
      </c>
      <c r="M85" s="4">
        <v>3</v>
      </c>
      <c r="N85" s="4" t="s">
        <v>3</v>
      </c>
      <c r="O85" s="4">
        <v>2</v>
      </c>
      <c r="P85" s="4"/>
      <c r="Q85" s="4"/>
      <c r="R85" s="4"/>
      <c r="S85" s="4"/>
      <c r="T85" s="4"/>
      <c r="U85" s="4"/>
      <c r="V85" s="4"/>
      <c r="W85" s="4"/>
    </row>
    <row r="86" spans="1:23" x14ac:dyDescent="0.2">
      <c r="A86" s="4">
        <v>50</v>
      </c>
      <c r="B86" s="4">
        <v>0</v>
      </c>
      <c r="C86" s="4">
        <v>0</v>
      </c>
      <c r="D86" s="4">
        <v>1</v>
      </c>
      <c r="E86" s="4">
        <v>216</v>
      </c>
      <c r="F86" s="4">
        <f>ROUND(Source!AP77,O86)</f>
        <v>0</v>
      </c>
      <c r="G86" s="4" t="s">
        <v>69</v>
      </c>
      <c r="H86" s="4" t="s">
        <v>70</v>
      </c>
      <c r="I86" s="4"/>
      <c r="J86" s="4"/>
      <c r="K86" s="4">
        <v>-216</v>
      </c>
      <c r="L86" s="4">
        <v>8</v>
      </c>
      <c r="M86" s="4">
        <v>3</v>
      </c>
      <c r="N86" s="4" t="s">
        <v>3</v>
      </c>
      <c r="O86" s="4">
        <v>2</v>
      </c>
      <c r="P86" s="4"/>
      <c r="Q86" s="4"/>
      <c r="R86" s="4"/>
      <c r="S86" s="4"/>
      <c r="T86" s="4"/>
      <c r="U86" s="4"/>
      <c r="V86" s="4"/>
      <c r="W86" s="4"/>
    </row>
    <row r="87" spans="1:23" x14ac:dyDescent="0.2">
      <c r="A87" s="4">
        <v>50</v>
      </c>
      <c r="B87" s="4">
        <v>0</v>
      </c>
      <c r="C87" s="4">
        <v>0</v>
      </c>
      <c r="D87" s="4">
        <v>1</v>
      </c>
      <c r="E87" s="4">
        <v>223</v>
      </c>
      <c r="F87" s="4">
        <f>ROUND(Source!AQ77,O87)</f>
        <v>0</v>
      </c>
      <c r="G87" s="4" t="s">
        <v>71</v>
      </c>
      <c r="H87" s="4" t="s">
        <v>72</v>
      </c>
      <c r="I87" s="4"/>
      <c r="J87" s="4"/>
      <c r="K87" s="4">
        <v>-223</v>
      </c>
      <c r="L87" s="4">
        <v>9</v>
      </c>
      <c r="M87" s="4">
        <v>3</v>
      </c>
      <c r="N87" s="4" t="s">
        <v>3</v>
      </c>
      <c r="O87" s="4">
        <v>2</v>
      </c>
      <c r="P87" s="4"/>
      <c r="Q87" s="4"/>
      <c r="R87" s="4"/>
      <c r="S87" s="4"/>
      <c r="T87" s="4"/>
      <c r="U87" s="4"/>
      <c r="V87" s="4"/>
      <c r="W87" s="4"/>
    </row>
    <row r="88" spans="1:23" x14ac:dyDescent="0.2">
      <c r="A88" s="4">
        <v>50</v>
      </c>
      <c r="B88" s="4">
        <v>0</v>
      </c>
      <c r="C88" s="4">
        <v>0</v>
      </c>
      <c r="D88" s="4">
        <v>1</v>
      </c>
      <c r="E88" s="4">
        <v>229</v>
      </c>
      <c r="F88" s="4">
        <f>ROUND(Source!AZ77,O88)</f>
        <v>0</v>
      </c>
      <c r="G88" s="4" t="s">
        <v>73</v>
      </c>
      <c r="H88" s="4" t="s">
        <v>74</v>
      </c>
      <c r="I88" s="4"/>
      <c r="J88" s="4"/>
      <c r="K88" s="4">
        <v>-229</v>
      </c>
      <c r="L88" s="4">
        <v>10</v>
      </c>
      <c r="M88" s="4">
        <v>3</v>
      </c>
      <c r="N88" s="4" t="s">
        <v>3</v>
      </c>
      <c r="O88" s="4">
        <v>2</v>
      </c>
      <c r="P88" s="4"/>
      <c r="Q88" s="4"/>
      <c r="R88" s="4"/>
      <c r="S88" s="4"/>
      <c r="T88" s="4"/>
      <c r="U88" s="4"/>
      <c r="V88" s="4"/>
      <c r="W88" s="4"/>
    </row>
    <row r="89" spans="1:23" x14ac:dyDescent="0.2">
      <c r="A89" s="4">
        <v>50</v>
      </c>
      <c r="B89" s="4">
        <v>0</v>
      </c>
      <c r="C89" s="4">
        <v>0</v>
      </c>
      <c r="D89" s="4">
        <v>1</v>
      </c>
      <c r="E89" s="4">
        <v>203</v>
      </c>
      <c r="F89" s="4">
        <f>ROUND(Source!Q77,O89)</f>
        <v>3446.14</v>
      </c>
      <c r="G89" s="4" t="s">
        <v>75</v>
      </c>
      <c r="H89" s="4" t="s">
        <v>76</v>
      </c>
      <c r="I89" s="4"/>
      <c r="J89" s="4"/>
      <c r="K89" s="4">
        <v>-203</v>
      </c>
      <c r="L89" s="4">
        <v>11</v>
      </c>
      <c r="M89" s="4">
        <v>3</v>
      </c>
      <c r="N89" s="4" t="s">
        <v>3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0" spans="1:23" x14ac:dyDescent="0.2">
      <c r="A90" s="4">
        <v>50</v>
      </c>
      <c r="B90" s="4">
        <v>0</v>
      </c>
      <c r="C90" s="4">
        <v>0</v>
      </c>
      <c r="D90" s="4">
        <v>1</v>
      </c>
      <c r="E90" s="4">
        <v>231</v>
      </c>
      <c r="F90" s="4">
        <f>ROUND(Source!BB77,O90)</f>
        <v>0</v>
      </c>
      <c r="G90" s="4" t="s">
        <v>77</v>
      </c>
      <c r="H90" s="4" t="s">
        <v>78</v>
      </c>
      <c r="I90" s="4"/>
      <c r="J90" s="4"/>
      <c r="K90" s="4">
        <v>-231</v>
      </c>
      <c r="L90" s="4">
        <v>12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3" x14ac:dyDescent="0.2">
      <c r="A91" s="4">
        <v>50</v>
      </c>
      <c r="B91" s="4">
        <v>0</v>
      </c>
      <c r="C91" s="4">
        <v>0</v>
      </c>
      <c r="D91" s="4">
        <v>1</v>
      </c>
      <c r="E91" s="4">
        <v>204</v>
      </c>
      <c r="F91" s="4">
        <f>ROUND(Source!R77,O91)</f>
        <v>2212.09</v>
      </c>
      <c r="G91" s="4" t="s">
        <v>79</v>
      </c>
      <c r="H91" s="4" t="s">
        <v>80</v>
      </c>
      <c r="I91" s="4"/>
      <c r="J91" s="4"/>
      <c r="K91" s="4">
        <v>-204</v>
      </c>
      <c r="L91" s="4">
        <v>13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3" x14ac:dyDescent="0.2">
      <c r="A92" s="4">
        <v>50</v>
      </c>
      <c r="B92" s="4">
        <v>0</v>
      </c>
      <c r="C92" s="4">
        <v>0</v>
      </c>
      <c r="D92" s="4">
        <v>1</v>
      </c>
      <c r="E92" s="4">
        <v>205</v>
      </c>
      <c r="F92" s="4">
        <f>ROUND(Source!S77,O92)</f>
        <v>425.7</v>
      </c>
      <c r="G92" s="4" t="s">
        <v>81</v>
      </c>
      <c r="H92" s="4" t="s">
        <v>82</v>
      </c>
      <c r="I92" s="4"/>
      <c r="J92" s="4"/>
      <c r="K92" s="4">
        <v>-205</v>
      </c>
      <c r="L92" s="4">
        <v>14</v>
      </c>
      <c r="M92" s="4">
        <v>3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3" spans="1:23" x14ac:dyDescent="0.2">
      <c r="A93" s="4">
        <v>50</v>
      </c>
      <c r="B93" s="4">
        <v>0</v>
      </c>
      <c r="C93" s="4">
        <v>0</v>
      </c>
      <c r="D93" s="4">
        <v>1</v>
      </c>
      <c r="E93" s="4">
        <v>232</v>
      </c>
      <c r="F93" s="4">
        <f>ROUND(Source!BC77,O93)</f>
        <v>0</v>
      </c>
      <c r="G93" s="4" t="s">
        <v>83</v>
      </c>
      <c r="H93" s="4" t="s">
        <v>84</v>
      </c>
      <c r="I93" s="4"/>
      <c r="J93" s="4"/>
      <c r="K93" s="4">
        <v>-232</v>
      </c>
      <c r="L93" s="4">
        <v>15</v>
      </c>
      <c r="M93" s="4">
        <v>3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3" x14ac:dyDescent="0.2">
      <c r="A94" s="4">
        <v>50</v>
      </c>
      <c r="B94" s="4">
        <v>0</v>
      </c>
      <c r="C94" s="4">
        <v>0</v>
      </c>
      <c r="D94" s="4">
        <v>1</v>
      </c>
      <c r="E94" s="4">
        <v>214</v>
      </c>
      <c r="F94" s="4">
        <f>ROUND(Source!AS77,O94)</f>
        <v>0</v>
      </c>
      <c r="G94" s="4" t="s">
        <v>85</v>
      </c>
      <c r="H94" s="4" t="s">
        <v>86</v>
      </c>
      <c r="I94" s="4"/>
      <c r="J94" s="4"/>
      <c r="K94" s="4">
        <v>-214</v>
      </c>
      <c r="L94" s="4">
        <v>16</v>
      </c>
      <c r="M94" s="4">
        <v>3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3" x14ac:dyDescent="0.2">
      <c r="A95" s="4">
        <v>50</v>
      </c>
      <c r="B95" s="4">
        <v>0</v>
      </c>
      <c r="C95" s="4">
        <v>0</v>
      </c>
      <c r="D95" s="4">
        <v>1</v>
      </c>
      <c r="E95" s="4">
        <v>215</v>
      </c>
      <c r="F95" s="4">
        <f>ROUND(Source!AT77,O95)</f>
        <v>0</v>
      </c>
      <c r="G95" s="4" t="s">
        <v>87</v>
      </c>
      <c r="H95" s="4" t="s">
        <v>88</v>
      </c>
      <c r="I95" s="4"/>
      <c r="J95" s="4"/>
      <c r="K95" s="4">
        <v>-215</v>
      </c>
      <c r="L95" s="4">
        <v>17</v>
      </c>
      <c r="M95" s="4">
        <v>3</v>
      </c>
      <c r="N95" s="4" t="s">
        <v>3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3" x14ac:dyDescent="0.2">
      <c r="A96" s="4">
        <v>50</v>
      </c>
      <c r="B96" s="4">
        <v>0</v>
      </c>
      <c r="C96" s="4">
        <v>0</v>
      </c>
      <c r="D96" s="4">
        <v>1</v>
      </c>
      <c r="E96" s="4">
        <v>217</v>
      </c>
      <c r="F96" s="4">
        <f>ROUND(Source!AU77,O96)</f>
        <v>12209.81</v>
      </c>
      <c r="G96" s="4" t="s">
        <v>89</v>
      </c>
      <c r="H96" s="4" t="s">
        <v>90</v>
      </c>
      <c r="I96" s="4"/>
      <c r="J96" s="4"/>
      <c r="K96" s="4">
        <v>-217</v>
      </c>
      <c r="L96" s="4">
        <v>18</v>
      </c>
      <c r="M96" s="4">
        <v>3</v>
      </c>
      <c r="N96" s="4" t="s">
        <v>3</v>
      </c>
      <c r="O96" s="4">
        <v>2</v>
      </c>
      <c r="P96" s="4"/>
      <c r="Q96" s="4"/>
      <c r="R96" s="4"/>
      <c r="S96" s="4"/>
      <c r="T96" s="4"/>
      <c r="U96" s="4"/>
      <c r="V96" s="4"/>
      <c r="W96" s="4"/>
    </row>
    <row r="97" spans="1:245" x14ac:dyDescent="0.2">
      <c r="A97" s="4">
        <v>50</v>
      </c>
      <c r="B97" s="4">
        <v>0</v>
      </c>
      <c r="C97" s="4">
        <v>0</v>
      </c>
      <c r="D97" s="4">
        <v>1</v>
      </c>
      <c r="E97" s="4">
        <v>230</v>
      </c>
      <c r="F97" s="4">
        <f>ROUND(Source!BA77,O97)</f>
        <v>0</v>
      </c>
      <c r="G97" s="4" t="s">
        <v>91</v>
      </c>
      <c r="H97" s="4" t="s">
        <v>92</v>
      </c>
      <c r="I97" s="4"/>
      <c r="J97" s="4"/>
      <c r="K97" s="4">
        <v>-230</v>
      </c>
      <c r="L97" s="4">
        <v>19</v>
      </c>
      <c r="M97" s="4">
        <v>3</v>
      </c>
      <c r="N97" s="4" t="s">
        <v>3</v>
      </c>
      <c r="O97" s="4">
        <v>2</v>
      </c>
      <c r="P97" s="4"/>
      <c r="Q97" s="4"/>
      <c r="R97" s="4"/>
      <c r="S97" s="4"/>
      <c r="T97" s="4"/>
      <c r="U97" s="4"/>
      <c r="V97" s="4"/>
      <c r="W97" s="4"/>
    </row>
    <row r="98" spans="1:245" x14ac:dyDescent="0.2">
      <c r="A98" s="4">
        <v>50</v>
      </c>
      <c r="B98" s="4">
        <v>0</v>
      </c>
      <c r="C98" s="4">
        <v>0</v>
      </c>
      <c r="D98" s="4">
        <v>1</v>
      </c>
      <c r="E98" s="4">
        <v>206</v>
      </c>
      <c r="F98" s="4">
        <f>ROUND(Source!T77,O98)</f>
        <v>0</v>
      </c>
      <c r="G98" s="4" t="s">
        <v>93</v>
      </c>
      <c r="H98" s="4" t="s">
        <v>94</v>
      </c>
      <c r="I98" s="4"/>
      <c r="J98" s="4"/>
      <c r="K98" s="4">
        <v>-206</v>
      </c>
      <c r="L98" s="4">
        <v>20</v>
      </c>
      <c r="M98" s="4">
        <v>3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45" x14ac:dyDescent="0.2">
      <c r="A99" s="4">
        <v>50</v>
      </c>
      <c r="B99" s="4">
        <v>0</v>
      </c>
      <c r="C99" s="4">
        <v>0</v>
      </c>
      <c r="D99" s="4">
        <v>1</v>
      </c>
      <c r="E99" s="4">
        <v>207</v>
      </c>
      <c r="F99" s="4">
        <f>Source!U77</f>
        <v>2.3500749999999999</v>
      </c>
      <c r="G99" s="4" t="s">
        <v>95</v>
      </c>
      <c r="H99" s="4" t="s">
        <v>96</v>
      </c>
      <c r="I99" s="4"/>
      <c r="J99" s="4"/>
      <c r="K99" s="4">
        <v>-207</v>
      </c>
      <c r="L99" s="4">
        <v>21</v>
      </c>
      <c r="M99" s="4">
        <v>3</v>
      </c>
      <c r="N99" s="4" t="s">
        <v>3</v>
      </c>
      <c r="O99" s="4">
        <v>-1</v>
      </c>
      <c r="P99" s="4"/>
      <c r="Q99" s="4"/>
      <c r="R99" s="4"/>
      <c r="S99" s="4"/>
      <c r="T99" s="4"/>
      <c r="U99" s="4"/>
      <c r="V99" s="4"/>
      <c r="W99" s="4"/>
    </row>
    <row r="100" spans="1:245" x14ac:dyDescent="0.2">
      <c r="A100" s="4">
        <v>50</v>
      </c>
      <c r="B100" s="4">
        <v>0</v>
      </c>
      <c r="C100" s="4">
        <v>0</v>
      </c>
      <c r="D100" s="4">
        <v>1</v>
      </c>
      <c r="E100" s="4">
        <v>208</v>
      </c>
      <c r="F100" s="4">
        <f>Source!V77</f>
        <v>0</v>
      </c>
      <c r="G100" s="4" t="s">
        <v>97</v>
      </c>
      <c r="H100" s="4" t="s">
        <v>98</v>
      </c>
      <c r="I100" s="4"/>
      <c r="J100" s="4"/>
      <c r="K100" s="4">
        <v>-208</v>
      </c>
      <c r="L100" s="4">
        <v>22</v>
      </c>
      <c r="M100" s="4">
        <v>3</v>
      </c>
      <c r="N100" s="4" t="s">
        <v>3</v>
      </c>
      <c r="O100" s="4">
        <v>-1</v>
      </c>
      <c r="P100" s="4"/>
      <c r="Q100" s="4"/>
      <c r="R100" s="4"/>
      <c r="S100" s="4"/>
      <c r="T100" s="4"/>
      <c r="U100" s="4"/>
      <c r="V100" s="4"/>
      <c r="W100" s="4"/>
    </row>
    <row r="101" spans="1:245" x14ac:dyDescent="0.2">
      <c r="A101" s="4">
        <v>50</v>
      </c>
      <c r="B101" s="4">
        <v>0</v>
      </c>
      <c r="C101" s="4">
        <v>0</v>
      </c>
      <c r="D101" s="4">
        <v>1</v>
      </c>
      <c r="E101" s="4">
        <v>209</v>
      </c>
      <c r="F101" s="4">
        <f>ROUND(Source!W77,O101)</f>
        <v>0</v>
      </c>
      <c r="G101" s="4" t="s">
        <v>99</v>
      </c>
      <c r="H101" s="4" t="s">
        <v>100</v>
      </c>
      <c r="I101" s="4"/>
      <c r="J101" s="4"/>
      <c r="K101" s="4">
        <v>-209</v>
      </c>
      <c r="L101" s="4">
        <v>23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45" x14ac:dyDescent="0.2">
      <c r="A102" s="4">
        <v>50</v>
      </c>
      <c r="B102" s="4">
        <v>0</v>
      </c>
      <c r="C102" s="4">
        <v>0</v>
      </c>
      <c r="D102" s="4">
        <v>1</v>
      </c>
      <c r="E102" s="4">
        <v>210</v>
      </c>
      <c r="F102" s="4">
        <f>ROUND(Source!X77,O102)</f>
        <v>298</v>
      </c>
      <c r="G102" s="4" t="s">
        <v>101</v>
      </c>
      <c r="H102" s="4" t="s">
        <v>102</v>
      </c>
      <c r="I102" s="4"/>
      <c r="J102" s="4"/>
      <c r="K102" s="4">
        <v>-210</v>
      </c>
      <c r="L102" s="4">
        <v>24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45" x14ac:dyDescent="0.2">
      <c r="A103" s="4">
        <v>50</v>
      </c>
      <c r="B103" s="4">
        <v>0</v>
      </c>
      <c r="C103" s="4">
        <v>0</v>
      </c>
      <c r="D103" s="4">
        <v>1</v>
      </c>
      <c r="E103" s="4">
        <v>211</v>
      </c>
      <c r="F103" s="4">
        <f>ROUND(Source!Y77,O103)</f>
        <v>42.57</v>
      </c>
      <c r="G103" s="4" t="s">
        <v>103</v>
      </c>
      <c r="H103" s="4" t="s">
        <v>104</v>
      </c>
      <c r="I103" s="4"/>
      <c r="J103" s="4"/>
      <c r="K103" s="4">
        <v>-211</v>
      </c>
      <c r="L103" s="4">
        <v>25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45" x14ac:dyDescent="0.2">
      <c r="A104" s="4">
        <v>50</v>
      </c>
      <c r="B104" s="4">
        <v>0</v>
      </c>
      <c r="C104" s="4">
        <v>0</v>
      </c>
      <c r="D104" s="4">
        <v>1</v>
      </c>
      <c r="E104" s="4">
        <v>224</v>
      </c>
      <c r="F104" s="4">
        <f>ROUND(Source!AR77,O104)</f>
        <v>12209.81</v>
      </c>
      <c r="G104" s="4" t="s">
        <v>105</v>
      </c>
      <c r="H104" s="4" t="s">
        <v>106</v>
      </c>
      <c r="I104" s="4"/>
      <c r="J104" s="4"/>
      <c r="K104" s="4">
        <v>-224</v>
      </c>
      <c r="L104" s="4">
        <v>26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6" spans="1:245" x14ac:dyDescent="0.2">
      <c r="A106" s="1">
        <v>4</v>
      </c>
      <c r="B106" s="1">
        <v>1</v>
      </c>
      <c r="C106" s="1"/>
      <c r="D106" s="1">
        <f>ROW(A119)</f>
        <v>119</v>
      </c>
      <c r="E106" s="1"/>
      <c r="F106" s="1" t="s">
        <v>12</v>
      </c>
      <c r="G106" s="1" t="s">
        <v>126</v>
      </c>
      <c r="H106" s="1" t="s">
        <v>3</v>
      </c>
      <c r="I106" s="1">
        <v>0</v>
      </c>
      <c r="J106" s="1"/>
      <c r="K106" s="1">
        <v>-1</v>
      </c>
      <c r="L106" s="1"/>
      <c r="M106" s="1"/>
      <c r="N106" s="1"/>
      <c r="O106" s="1"/>
      <c r="P106" s="1"/>
      <c r="Q106" s="1"/>
      <c r="R106" s="1"/>
      <c r="S106" s="1"/>
      <c r="T106" s="1"/>
      <c r="U106" s="1" t="s">
        <v>3</v>
      </c>
      <c r="V106" s="1">
        <v>0</v>
      </c>
      <c r="W106" s="1"/>
      <c r="X106" s="1"/>
      <c r="Y106" s="1"/>
      <c r="Z106" s="1"/>
      <c r="AA106" s="1"/>
      <c r="AB106" s="1" t="s">
        <v>3</v>
      </c>
      <c r="AC106" s="1" t="s">
        <v>3</v>
      </c>
      <c r="AD106" s="1" t="s">
        <v>3</v>
      </c>
      <c r="AE106" s="1" t="s">
        <v>3</v>
      </c>
      <c r="AF106" s="1" t="s">
        <v>3</v>
      </c>
      <c r="AG106" s="1" t="s">
        <v>3</v>
      </c>
      <c r="AH106" s="1"/>
      <c r="AI106" s="1"/>
      <c r="AJ106" s="1"/>
      <c r="AK106" s="1"/>
      <c r="AL106" s="1"/>
      <c r="AM106" s="1"/>
      <c r="AN106" s="1"/>
      <c r="AO106" s="1"/>
      <c r="AP106" s="1" t="s">
        <v>3</v>
      </c>
      <c r="AQ106" s="1" t="s">
        <v>3</v>
      </c>
      <c r="AR106" s="1" t="s">
        <v>3</v>
      </c>
      <c r="AS106" s="1"/>
      <c r="AT106" s="1"/>
      <c r="AU106" s="1"/>
      <c r="AV106" s="1"/>
      <c r="AW106" s="1"/>
      <c r="AX106" s="1"/>
      <c r="AY106" s="1"/>
      <c r="AZ106" s="1" t="s">
        <v>3</v>
      </c>
      <c r="BA106" s="1"/>
      <c r="BB106" s="1" t="s">
        <v>3</v>
      </c>
      <c r="BC106" s="1" t="s">
        <v>3</v>
      </c>
      <c r="BD106" s="1" t="s">
        <v>3</v>
      </c>
      <c r="BE106" s="1" t="s">
        <v>3</v>
      </c>
      <c r="BF106" s="1" t="s">
        <v>3</v>
      </c>
      <c r="BG106" s="1" t="s">
        <v>3</v>
      </c>
      <c r="BH106" s="1" t="s">
        <v>3</v>
      </c>
      <c r="BI106" s="1" t="s">
        <v>3</v>
      </c>
      <c r="BJ106" s="1" t="s">
        <v>3</v>
      </c>
      <c r="BK106" s="1" t="s">
        <v>3</v>
      </c>
      <c r="BL106" s="1" t="s">
        <v>3</v>
      </c>
      <c r="BM106" s="1" t="s">
        <v>3</v>
      </c>
      <c r="BN106" s="1" t="s">
        <v>3</v>
      </c>
      <c r="BO106" s="1" t="s">
        <v>3</v>
      </c>
      <c r="BP106" s="1" t="s">
        <v>3</v>
      </c>
      <c r="BQ106" s="1"/>
      <c r="BR106" s="1"/>
      <c r="BS106" s="1"/>
      <c r="BT106" s="1"/>
      <c r="BU106" s="1"/>
      <c r="BV106" s="1"/>
      <c r="BW106" s="1"/>
      <c r="BX106" s="1">
        <v>0</v>
      </c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>
        <v>0</v>
      </c>
    </row>
    <row r="108" spans="1:245" x14ac:dyDescent="0.2">
      <c r="A108" s="2">
        <v>52</v>
      </c>
      <c r="B108" s="2">
        <f t="shared" ref="B108:G108" si="91">B119</f>
        <v>1</v>
      </c>
      <c r="C108" s="2">
        <f t="shared" si="91"/>
        <v>4</v>
      </c>
      <c r="D108" s="2">
        <f t="shared" si="91"/>
        <v>106</v>
      </c>
      <c r="E108" s="2">
        <f t="shared" si="91"/>
        <v>0</v>
      </c>
      <c r="F108" s="2" t="str">
        <f t="shared" si="91"/>
        <v>Новый раздел</v>
      </c>
      <c r="G108" s="2" t="str">
        <f t="shared" si="91"/>
        <v>Ремонт отмостки - 85м2</v>
      </c>
      <c r="H108" s="2"/>
      <c r="I108" s="2"/>
      <c r="J108" s="2"/>
      <c r="K108" s="2"/>
      <c r="L108" s="2"/>
      <c r="M108" s="2"/>
      <c r="N108" s="2"/>
      <c r="O108" s="2">
        <f t="shared" ref="O108:AT108" si="92">O119</f>
        <v>85252.66</v>
      </c>
      <c r="P108" s="2">
        <f t="shared" si="92"/>
        <v>49282.95</v>
      </c>
      <c r="Q108" s="2">
        <f t="shared" si="92"/>
        <v>31903.34</v>
      </c>
      <c r="R108" s="2">
        <f t="shared" si="92"/>
        <v>21010.46</v>
      </c>
      <c r="S108" s="2">
        <f t="shared" si="92"/>
        <v>4066.37</v>
      </c>
      <c r="T108" s="2">
        <f t="shared" si="92"/>
        <v>0</v>
      </c>
      <c r="U108" s="2">
        <f t="shared" si="92"/>
        <v>24.12725</v>
      </c>
      <c r="V108" s="2">
        <f t="shared" si="92"/>
        <v>0</v>
      </c>
      <c r="W108" s="2">
        <f t="shared" si="92"/>
        <v>0</v>
      </c>
      <c r="X108" s="2">
        <f t="shared" si="92"/>
        <v>2846.46</v>
      </c>
      <c r="Y108" s="2">
        <f t="shared" si="92"/>
        <v>406.64</v>
      </c>
      <c r="Z108" s="2">
        <f t="shared" si="92"/>
        <v>0</v>
      </c>
      <c r="AA108" s="2">
        <f t="shared" si="92"/>
        <v>0</v>
      </c>
      <c r="AB108" s="2">
        <f t="shared" si="92"/>
        <v>85252.66</v>
      </c>
      <c r="AC108" s="2">
        <f t="shared" si="92"/>
        <v>49282.95</v>
      </c>
      <c r="AD108" s="2">
        <f t="shared" si="92"/>
        <v>31903.34</v>
      </c>
      <c r="AE108" s="2">
        <f t="shared" si="92"/>
        <v>21010.46</v>
      </c>
      <c r="AF108" s="2">
        <f t="shared" si="92"/>
        <v>4066.37</v>
      </c>
      <c r="AG108" s="2">
        <f t="shared" si="92"/>
        <v>0</v>
      </c>
      <c r="AH108" s="2">
        <f t="shared" si="92"/>
        <v>24.12725</v>
      </c>
      <c r="AI108" s="2">
        <f t="shared" si="92"/>
        <v>0</v>
      </c>
      <c r="AJ108" s="2">
        <f t="shared" si="92"/>
        <v>0</v>
      </c>
      <c r="AK108" s="2">
        <f t="shared" si="92"/>
        <v>2846.46</v>
      </c>
      <c r="AL108" s="2">
        <f t="shared" si="92"/>
        <v>406.64</v>
      </c>
      <c r="AM108" s="2">
        <f t="shared" si="92"/>
        <v>0</v>
      </c>
      <c r="AN108" s="2">
        <f t="shared" si="92"/>
        <v>0</v>
      </c>
      <c r="AO108" s="2">
        <f t="shared" si="92"/>
        <v>0</v>
      </c>
      <c r="AP108" s="2">
        <f t="shared" si="92"/>
        <v>0</v>
      </c>
      <c r="AQ108" s="2">
        <f t="shared" si="92"/>
        <v>0</v>
      </c>
      <c r="AR108" s="2">
        <f t="shared" si="92"/>
        <v>92588.4</v>
      </c>
      <c r="AS108" s="2">
        <f t="shared" si="92"/>
        <v>0</v>
      </c>
      <c r="AT108" s="2">
        <f t="shared" si="92"/>
        <v>0</v>
      </c>
      <c r="AU108" s="2">
        <f t="shared" ref="AU108:BZ108" si="93">AU119</f>
        <v>92588.4</v>
      </c>
      <c r="AV108" s="2">
        <f t="shared" si="93"/>
        <v>49282.95</v>
      </c>
      <c r="AW108" s="2">
        <f t="shared" si="93"/>
        <v>49282.95</v>
      </c>
      <c r="AX108" s="2">
        <f t="shared" si="93"/>
        <v>0</v>
      </c>
      <c r="AY108" s="2">
        <f t="shared" si="93"/>
        <v>49282.95</v>
      </c>
      <c r="AZ108" s="2">
        <f t="shared" si="93"/>
        <v>0</v>
      </c>
      <c r="BA108" s="2">
        <f t="shared" si="93"/>
        <v>0</v>
      </c>
      <c r="BB108" s="2">
        <f t="shared" si="93"/>
        <v>0</v>
      </c>
      <c r="BC108" s="2">
        <f t="shared" si="93"/>
        <v>0</v>
      </c>
      <c r="BD108" s="2">
        <f t="shared" si="93"/>
        <v>0</v>
      </c>
      <c r="BE108" s="2">
        <f t="shared" si="93"/>
        <v>0</v>
      </c>
      <c r="BF108" s="2">
        <f t="shared" si="93"/>
        <v>0</v>
      </c>
      <c r="BG108" s="2">
        <f t="shared" si="93"/>
        <v>0</v>
      </c>
      <c r="BH108" s="2">
        <f t="shared" si="93"/>
        <v>0</v>
      </c>
      <c r="BI108" s="2">
        <f t="shared" si="93"/>
        <v>0</v>
      </c>
      <c r="BJ108" s="2">
        <f t="shared" si="93"/>
        <v>0</v>
      </c>
      <c r="BK108" s="2">
        <f t="shared" si="93"/>
        <v>0</v>
      </c>
      <c r="BL108" s="2">
        <f t="shared" si="93"/>
        <v>0</v>
      </c>
      <c r="BM108" s="2">
        <f t="shared" si="93"/>
        <v>0</v>
      </c>
      <c r="BN108" s="2">
        <f t="shared" si="93"/>
        <v>0</v>
      </c>
      <c r="BO108" s="2">
        <f t="shared" si="93"/>
        <v>0</v>
      </c>
      <c r="BP108" s="2">
        <f t="shared" si="93"/>
        <v>0</v>
      </c>
      <c r="BQ108" s="2">
        <f t="shared" si="93"/>
        <v>0</v>
      </c>
      <c r="BR108" s="2">
        <f t="shared" si="93"/>
        <v>0</v>
      </c>
      <c r="BS108" s="2">
        <f t="shared" si="93"/>
        <v>0</v>
      </c>
      <c r="BT108" s="2">
        <f t="shared" si="93"/>
        <v>0</v>
      </c>
      <c r="BU108" s="2">
        <f t="shared" si="93"/>
        <v>0</v>
      </c>
      <c r="BV108" s="2">
        <f t="shared" si="93"/>
        <v>0</v>
      </c>
      <c r="BW108" s="2">
        <f t="shared" si="93"/>
        <v>0</v>
      </c>
      <c r="BX108" s="2">
        <f t="shared" si="93"/>
        <v>0</v>
      </c>
      <c r="BY108" s="2">
        <f t="shared" si="93"/>
        <v>0</v>
      </c>
      <c r="BZ108" s="2">
        <f t="shared" si="93"/>
        <v>0</v>
      </c>
      <c r="CA108" s="2">
        <f t="shared" ref="CA108:DF108" si="94">CA119</f>
        <v>92588.4</v>
      </c>
      <c r="CB108" s="2">
        <f t="shared" si="94"/>
        <v>0</v>
      </c>
      <c r="CC108" s="2">
        <f t="shared" si="94"/>
        <v>0</v>
      </c>
      <c r="CD108" s="2">
        <f t="shared" si="94"/>
        <v>92588.4</v>
      </c>
      <c r="CE108" s="2">
        <f t="shared" si="94"/>
        <v>49282.95</v>
      </c>
      <c r="CF108" s="2">
        <f t="shared" si="94"/>
        <v>49282.95</v>
      </c>
      <c r="CG108" s="2">
        <f t="shared" si="94"/>
        <v>0</v>
      </c>
      <c r="CH108" s="2">
        <f t="shared" si="94"/>
        <v>49282.95</v>
      </c>
      <c r="CI108" s="2">
        <f t="shared" si="94"/>
        <v>0</v>
      </c>
      <c r="CJ108" s="2">
        <f t="shared" si="94"/>
        <v>0</v>
      </c>
      <c r="CK108" s="2">
        <f t="shared" si="94"/>
        <v>0</v>
      </c>
      <c r="CL108" s="2">
        <f t="shared" si="94"/>
        <v>0</v>
      </c>
      <c r="CM108" s="2">
        <f t="shared" si="94"/>
        <v>0</v>
      </c>
      <c r="CN108" s="2">
        <f t="shared" si="94"/>
        <v>0</v>
      </c>
      <c r="CO108" s="2">
        <f t="shared" si="94"/>
        <v>0</v>
      </c>
      <c r="CP108" s="2">
        <f t="shared" si="94"/>
        <v>0</v>
      </c>
      <c r="CQ108" s="2">
        <f t="shared" si="94"/>
        <v>0</v>
      </c>
      <c r="CR108" s="2">
        <f t="shared" si="94"/>
        <v>0</v>
      </c>
      <c r="CS108" s="2">
        <f t="shared" si="94"/>
        <v>0</v>
      </c>
      <c r="CT108" s="2">
        <f t="shared" si="94"/>
        <v>0</v>
      </c>
      <c r="CU108" s="2">
        <f t="shared" si="94"/>
        <v>0</v>
      </c>
      <c r="CV108" s="2">
        <f t="shared" si="94"/>
        <v>0</v>
      </c>
      <c r="CW108" s="2">
        <f t="shared" si="94"/>
        <v>0</v>
      </c>
      <c r="CX108" s="2">
        <f t="shared" si="94"/>
        <v>0</v>
      </c>
      <c r="CY108" s="2">
        <f t="shared" si="94"/>
        <v>0</v>
      </c>
      <c r="CZ108" s="2">
        <f t="shared" si="94"/>
        <v>0</v>
      </c>
      <c r="DA108" s="2">
        <f t="shared" si="94"/>
        <v>0</v>
      </c>
      <c r="DB108" s="2">
        <f t="shared" si="94"/>
        <v>0</v>
      </c>
      <c r="DC108" s="2">
        <f t="shared" si="94"/>
        <v>0</v>
      </c>
      <c r="DD108" s="2">
        <f t="shared" si="94"/>
        <v>0</v>
      </c>
      <c r="DE108" s="2">
        <f t="shared" si="94"/>
        <v>0</v>
      </c>
      <c r="DF108" s="2">
        <f t="shared" si="94"/>
        <v>0</v>
      </c>
      <c r="DG108" s="3">
        <f t="shared" ref="DG108:EL108" si="95">DG119</f>
        <v>0</v>
      </c>
      <c r="DH108" s="3">
        <f t="shared" si="95"/>
        <v>0</v>
      </c>
      <c r="DI108" s="3">
        <f t="shared" si="95"/>
        <v>0</v>
      </c>
      <c r="DJ108" s="3">
        <f t="shared" si="95"/>
        <v>0</v>
      </c>
      <c r="DK108" s="3">
        <f t="shared" si="95"/>
        <v>0</v>
      </c>
      <c r="DL108" s="3">
        <f t="shared" si="95"/>
        <v>0</v>
      </c>
      <c r="DM108" s="3">
        <f t="shared" si="95"/>
        <v>0</v>
      </c>
      <c r="DN108" s="3">
        <f t="shared" si="95"/>
        <v>0</v>
      </c>
      <c r="DO108" s="3">
        <f t="shared" si="95"/>
        <v>0</v>
      </c>
      <c r="DP108" s="3">
        <f t="shared" si="95"/>
        <v>0</v>
      </c>
      <c r="DQ108" s="3">
        <f t="shared" si="95"/>
        <v>0</v>
      </c>
      <c r="DR108" s="3">
        <f t="shared" si="95"/>
        <v>0</v>
      </c>
      <c r="DS108" s="3">
        <f t="shared" si="95"/>
        <v>0</v>
      </c>
      <c r="DT108" s="3">
        <f t="shared" si="95"/>
        <v>0</v>
      </c>
      <c r="DU108" s="3">
        <f t="shared" si="95"/>
        <v>0</v>
      </c>
      <c r="DV108" s="3">
        <f t="shared" si="95"/>
        <v>0</v>
      </c>
      <c r="DW108" s="3">
        <f t="shared" si="95"/>
        <v>0</v>
      </c>
      <c r="DX108" s="3">
        <f t="shared" si="95"/>
        <v>0</v>
      </c>
      <c r="DY108" s="3">
        <f t="shared" si="95"/>
        <v>0</v>
      </c>
      <c r="DZ108" s="3">
        <f t="shared" si="95"/>
        <v>0</v>
      </c>
      <c r="EA108" s="3">
        <f t="shared" si="95"/>
        <v>0</v>
      </c>
      <c r="EB108" s="3">
        <f t="shared" si="95"/>
        <v>0</v>
      </c>
      <c r="EC108" s="3">
        <f t="shared" si="95"/>
        <v>0</v>
      </c>
      <c r="ED108" s="3">
        <f t="shared" si="95"/>
        <v>0</v>
      </c>
      <c r="EE108" s="3">
        <f t="shared" si="95"/>
        <v>0</v>
      </c>
      <c r="EF108" s="3">
        <f t="shared" si="95"/>
        <v>0</v>
      </c>
      <c r="EG108" s="3">
        <f t="shared" si="95"/>
        <v>0</v>
      </c>
      <c r="EH108" s="3">
        <f t="shared" si="95"/>
        <v>0</v>
      </c>
      <c r="EI108" s="3">
        <f t="shared" si="95"/>
        <v>0</v>
      </c>
      <c r="EJ108" s="3">
        <f t="shared" si="95"/>
        <v>0</v>
      </c>
      <c r="EK108" s="3">
        <f t="shared" si="95"/>
        <v>0</v>
      </c>
      <c r="EL108" s="3">
        <f t="shared" si="95"/>
        <v>0</v>
      </c>
      <c r="EM108" s="3">
        <f t="shared" ref="EM108:FR108" si="96">EM119</f>
        <v>0</v>
      </c>
      <c r="EN108" s="3">
        <f t="shared" si="96"/>
        <v>0</v>
      </c>
      <c r="EO108" s="3">
        <f t="shared" si="96"/>
        <v>0</v>
      </c>
      <c r="EP108" s="3">
        <f t="shared" si="96"/>
        <v>0</v>
      </c>
      <c r="EQ108" s="3">
        <f t="shared" si="96"/>
        <v>0</v>
      </c>
      <c r="ER108" s="3">
        <f t="shared" si="96"/>
        <v>0</v>
      </c>
      <c r="ES108" s="3">
        <f t="shared" si="96"/>
        <v>0</v>
      </c>
      <c r="ET108" s="3">
        <f t="shared" si="96"/>
        <v>0</v>
      </c>
      <c r="EU108" s="3">
        <f t="shared" si="96"/>
        <v>0</v>
      </c>
      <c r="EV108" s="3">
        <f t="shared" si="96"/>
        <v>0</v>
      </c>
      <c r="EW108" s="3">
        <f t="shared" si="96"/>
        <v>0</v>
      </c>
      <c r="EX108" s="3">
        <f t="shared" si="96"/>
        <v>0</v>
      </c>
      <c r="EY108" s="3">
        <f t="shared" si="96"/>
        <v>0</v>
      </c>
      <c r="EZ108" s="3">
        <f t="shared" si="96"/>
        <v>0</v>
      </c>
      <c r="FA108" s="3">
        <f t="shared" si="96"/>
        <v>0</v>
      </c>
      <c r="FB108" s="3">
        <f t="shared" si="96"/>
        <v>0</v>
      </c>
      <c r="FC108" s="3">
        <f t="shared" si="96"/>
        <v>0</v>
      </c>
      <c r="FD108" s="3">
        <f t="shared" si="96"/>
        <v>0</v>
      </c>
      <c r="FE108" s="3">
        <f t="shared" si="96"/>
        <v>0</v>
      </c>
      <c r="FF108" s="3">
        <f t="shared" si="96"/>
        <v>0</v>
      </c>
      <c r="FG108" s="3">
        <f t="shared" si="96"/>
        <v>0</v>
      </c>
      <c r="FH108" s="3">
        <f t="shared" si="96"/>
        <v>0</v>
      </c>
      <c r="FI108" s="3">
        <f t="shared" si="96"/>
        <v>0</v>
      </c>
      <c r="FJ108" s="3">
        <f t="shared" si="96"/>
        <v>0</v>
      </c>
      <c r="FK108" s="3">
        <f t="shared" si="96"/>
        <v>0</v>
      </c>
      <c r="FL108" s="3">
        <f t="shared" si="96"/>
        <v>0</v>
      </c>
      <c r="FM108" s="3">
        <f t="shared" si="96"/>
        <v>0</v>
      </c>
      <c r="FN108" s="3">
        <f t="shared" si="96"/>
        <v>0</v>
      </c>
      <c r="FO108" s="3">
        <f t="shared" si="96"/>
        <v>0</v>
      </c>
      <c r="FP108" s="3">
        <f t="shared" si="96"/>
        <v>0</v>
      </c>
      <c r="FQ108" s="3">
        <f t="shared" si="96"/>
        <v>0</v>
      </c>
      <c r="FR108" s="3">
        <f t="shared" si="96"/>
        <v>0</v>
      </c>
      <c r="FS108" s="3">
        <f t="shared" ref="FS108:GX108" si="97">FS119</f>
        <v>0</v>
      </c>
      <c r="FT108" s="3">
        <f t="shared" si="97"/>
        <v>0</v>
      </c>
      <c r="FU108" s="3">
        <f t="shared" si="97"/>
        <v>0</v>
      </c>
      <c r="FV108" s="3">
        <f t="shared" si="97"/>
        <v>0</v>
      </c>
      <c r="FW108" s="3">
        <f t="shared" si="97"/>
        <v>0</v>
      </c>
      <c r="FX108" s="3">
        <f t="shared" si="97"/>
        <v>0</v>
      </c>
      <c r="FY108" s="3">
        <f t="shared" si="97"/>
        <v>0</v>
      </c>
      <c r="FZ108" s="3">
        <f t="shared" si="97"/>
        <v>0</v>
      </c>
      <c r="GA108" s="3">
        <f t="shared" si="97"/>
        <v>0</v>
      </c>
      <c r="GB108" s="3">
        <f t="shared" si="97"/>
        <v>0</v>
      </c>
      <c r="GC108" s="3">
        <f t="shared" si="97"/>
        <v>0</v>
      </c>
      <c r="GD108" s="3">
        <f t="shared" si="97"/>
        <v>0</v>
      </c>
      <c r="GE108" s="3">
        <f t="shared" si="97"/>
        <v>0</v>
      </c>
      <c r="GF108" s="3">
        <f t="shared" si="97"/>
        <v>0</v>
      </c>
      <c r="GG108" s="3">
        <f t="shared" si="97"/>
        <v>0</v>
      </c>
      <c r="GH108" s="3">
        <f t="shared" si="97"/>
        <v>0</v>
      </c>
      <c r="GI108" s="3">
        <f t="shared" si="97"/>
        <v>0</v>
      </c>
      <c r="GJ108" s="3">
        <f t="shared" si="97"/>
        <v>0</v>
      </c>
      <c r="GK108" s="3">
        <f t="shared" si="97"/>
        <v>0</v>
      </c>
      <c r="GL108" s="3">
        <f t="shared" si="97"/>
        <v>0</v>
      </c>
      <c r="GM108" s="3">
        <f t="shared" si="97"/>
        <v>0</v>
      </c>
      <c r="GN108" s="3">
        <f t="shared" si="97"/>
        <v>0</v>
      </c>
      <c r="GO108" s="3">
        <f t="shared" si="97"/>
        <v>0</v>
      </c>
      <c r="GP108" s="3">
        <f t="shared" si="97"/>
        <v>0</v>
      </c>
      <c r="GQ108" s="3">
        <f t="shared" si="97"/>
        <v>0</v>
      </c>
      <c r="GR108" s="3">
        <f t="shared" si="97"/>
        <v>0</v>
      </c>
      <c r="GS108" s="3">
        <f t="shared" si="97"/>
        <v>0</v>
      </c>
      <c r="GT108" s="3">
        <f t="shared" si="97"/>
        <v>0</v>
      </c>
      <c r="GU108" s="3">
        <f t="shared" si="97"/>
        <v>0</v>
      </c>
      <c r="GV108" s="3">
        <f t="shared" si="97"/>
        <v>0</v>
      </c>
      <c r="GW108" s="3">
        <f t="shared" si="97"/>
        <v>0</v>
      </c>
      <c r="GX108" s="3">
        <f t="shared" si="97"/>
        <v>0</v>
      </c>
    </row>
    <row r="110" spans="1:245" x14ac:dyDescent="0.2">
      <c r="A110">
        <v>17</v>
      </c>
      <c r="B110">
        <v>1</v>
      </c>
      <c r="C110">
        <f>ROW(SmtRes!A63)</f>
        <v>63</v>
      </c>
      <c r="D110">
        <f>ROW(EtalonRes!A63)</f>
        <v>63</v>
      </c>
      <c r="E110" t="s">
        <v>127</v>
      </c>
      <c r="F110" t="s">
        <v>15</v>
      </c>
      <c r="G110" t="s">
        <v>16</v>
      </c>
      <c r="H110" t="s">
        <v>17</v>
      </c>
      <c r="I110">
        <f>ROUND(85*0.05/100,9)</f>
        <v>4.2500000000000003E-2</v>
      </c>
      <c r="J110">
        <v>0</v>
      </c>
      <c r="O110">
        <f t="shared" ref="O110:O117" si="98">ROUND(CP110,2)</f>
        <v>2057.6999999999998</v>
      </c>
      <c r="P110">
        <f t="shared" ref="P110:P117" si="99">ROUND(CQ110*I110,2)</f>
        <v>0</v>
      </c>
      <c r="Q110">
        <f t="shared" ref="Q110:Q117" si="100">ROUND(CR110*I110,2)</f>
        <v>993.69</v>
      </c>
      <c r="R110">
        <f t="shared" ref="R110:R117" si="101">ROUND(CS110*I110,2)</f>
        <v>525.98</v>
      </c>
      <c r="S110">
        <f t="shared" ref="S110:S117" si="102">ROUND(CT110*I110,2)</f>
        <v>1064.01</v>
      </c>
      <c r="T110">
        <f t="shared" ref="T110:T117" si="103">ROUND(CU110*I110,2)</f>
        <v>0</v>
      </c>
      <c r="U110">
        <f t="shared" ref="U110:U117" si="104">CV110*I110</f>
        <v>6.5875000000000004</v>
      </c>
      <c r="V110">
        <f t="shared" ref="V110:V117" si="105">CW110*I110</f>
        <v>0</v>
      </c>
      <c r="W110">
        <f t="shared" ref="W110:W117" si="106">ROUND(CX110*I110,2)</f>
        <v>0</v>
      </c>
      <c r="X110">
        <f t="shared" ref="X110:Y117" si="107">ROUND(CY110,2)</f>
        <v>744.81</v>
      </c>
      <c r="Y110">
        <f t="shared" si="107"/>
        <v>106.4</v>
      </c>
      <c r="AA110">
        <v>37598633</v>
      </c>
      <c r="AB110">
        <f t="shared" ref="AB110:AB117" si="108">ROUND((AC110+AD110+AF110),6)</f>
        <v>48416.43</v>
      </c>
      <c r="AC110">
        <f t="shared" ref="AC110:AC116" si="109">ROUND((ES110),6)</f>
        <v>0</v>
      </c>
      <c r="AD110">
        <f>ROUND((((ET110)-(EU110))+AE110),6)</f>
        <v>23380.83</v>
      </c>
      <c r="AE110">
        <f t="shared" ref="AE110:AF113" si="110">ROUND((EU110),6)</f>
        <v>12376.07</v>
      </c>
      <c r="AF110">
        <f t="shared" si="110"/>
        <v>25035.599999999999</v>
      </c>
      <c r="AG110">
        <f t="shared" ref="AG110:AG117" si="111">ROUND((AP110),6)</f>
        <v>0</v>
      </c>
      <c r="AH110">
        <f t="shared" ref="AH110:AI113" si="112">(EW110)</f>
        <v>155</v>
      </c>
      <c r="AI110">
        <f t="shared" si="112"/>
        <v>0</v>
      </c>
      <c r="AJ110">
        <f t="shared" ref="AJ110:AJ117" si="113">ROUND((AS110),6)</f>
        <v>0</v>
      </c>
      <c r="AK110">
        <v>48416.43</v>
      </c>
      <c r="AL110">
        <v>0</v>
      </c>
      <c r="AM110">
        <v>23380.83</v>
      </c>
      <c r="AN110">
        <v>12376.07</v>
      </c>
      <c r="AO110">
        <v>25035.599999999999</v>
      </c>
      <c r="AP110">
        <v>0</v>
      </c>
      <c r="AQ110">
        <v>155</v>
      </c>
      <c r="AR110">
        <v>0</v>
      </c>
      <c r="AS110">
        <v>0</v>
      </c>
      <c r="AT110">
        <v>70</v>
      </c>
      <c r="AU110">
        <v>10</v>
      </c>
      <c r="AV110">
        <v>1</v>
      </c>
      <c r="AW110">
        <v>1</v>
      </c>
      <c r="AZ110">
        <v>1</v>
      </c>
      <c r="BA110">
        <v>1</v>
      </c>
      <c r="BB110">
        <v>1</v>
      </c>
      <c r="BC110">
        <v>1</v>
      </c>
      <c r="BD110" t="s">
        <v>3</v>
      </c>
      <c r="BE110" t="s">
        <v>3</v>
      </c>
      <c r="BF110" t="s">
        <v>3</v>
      </c>
      <c r="BG110" t="s">
        <v>3</v>
      </c>
      <c r="BH110">
        <v>0</v>
      </c>
      <c r="BI110">
        <v>4</v>
      </c>
      <c r="BJ110" t="s">
        <v>18</v>
      </c>
      <c r="BM110">
        <v>0</v>
      </c>
      <c r="BN110">
        <v>0</v>
      </c>
      <c r="BO110" t="s">
        <v>3</v>
      </c>
      <c r="BP110">
        <v>0</v>
      </c>
      <c r="BQ110">
        <v>1</v>
      </c>
      <c r="BR110">
        <v>0</v>
      </c>
      <c r="BS110">
        <v>1</v>
      </c>
      <c r="BT110">
        <v>1</v>
      </c>
      <c r="BU110">
        <v>1</v>
      </c>
      <c r="BV110">
        <v>1</v>
      </c>
      <c r="BW110">
        <v>1</v>
      </c>
      <c r="BX110">
        <v>1</v>
      </c>
      <c r="BY110" t="s">
        <v>3</v>
      </c>
      <c r="BZ110">
        <v>70</v>
      </c>
      <c r="CA110">
        <v>10</v>
      </c>
      <c r="CF110">
        <v>0</v>
      </c>
      <c r="CG110">
        <v>0</v>
      </c>
      <c r="CM110">
        <v>0</v>
      </c>
      <c r="CN110" t="s">
        <v>3</v>
      </c>
      <c r="CO110">
        <v>0</v>
      </c>
      <c r="CP110">
        <f t="shared" ref="CP110:CP117" si="114">(P110+Q110+S110)</f>
        <v>2057.6999999999998</v>
      </c>
      <c r="CQ110">
        <f t="shared" ref="CQ110:CQ117" si="115">(AC110*BC110*AW110)</f>
        <v>0</v>
      </c>
      <c r="CR110">
        <f>((((ET110)*BB110-(EU110)*BS110)+AE110*BS110)*AV110)</f>
        <v>23380.83</v>
      </c>
      <c r="CS110">
        <f t="shared" ref="CS110:CS117" si="116">(AE110*BS110*AV110)</f>
        <v>12376.07</v>
      </c>
      <c r="CT110">
        <f t="shared" ref="CT110:CT117" si="117">(AF110*BA110*AV110)</f>
        <v>25035.599999999999</v>
      </c>
      <c r="CU110">
        <f t="shared" ref="CU110:CU117" si="118">AG110</f>
        <v>0</v>
      </c>
      <c r="CV110">
        <f t="shared" ref="CV110:CV117" si="119">(AH110*AV110)</f>
        <v>155</v>
      </c>
      <c r="CW110">
        <f t="shared" ref="CW110:CX117" si="120">AI110</f>
        <v>0</v>
      </c>
      <c r="CX110">
        <f t="shared" si="120"/>
        <v>0</v>
      </c>
      <c r="CY110">
        <f t="shared" ref="CY110:CY117" si="121">((S110*BZ110)/100)</f>
        <v>744.80700000000002</v>
      </c>
      <c r="CZ110">
        <f t="shared" ref="CZ110:CZ117" si="122">((S110*CA110)/100)</f>
        <v>106.40100000000001</v>
      </c>
      <c r="DC110" t="s">
        <v>3</v>
      </c>
      <c r="DD110" t="s">
        <v>3</v>
      </c>
      <c r="DE110" t="s">
        <v>3</v>
      </c>
      <c r="DF110" t="s">
        <v>3</v>
      </c>
      <c r="DG110" t="s">
        <v>3</v>
      </c>
      <c r="DH110" t="s">
        <v>3</v>
      </c>
      <c r="DI110" t="s">
        <v>3</v>
      </c>
      <c r="DJ110" t="s">
        <v>3</v>
      </c>
      <c r="DK110" t="s">
        <v>3</v>
      </c>
      <c r="DL110" t="s">
        <v>3</v>
      </c>
      <c r="DM110" t="s">
        <v>3</v>
      </c>
      <c r="DN110">
        <v>0</v>
      </c>
      <c r="DO110">
        <v>0</v>
      </c>
      <c r="DP110">
        <v>1</v>
      </c>
      <c r="DQ110">
        <v>1</v>
      </c>
      <c r="DU110">
        <v>1007</v>
      </c>
      <c r="DV110" t="s">
        <v>17</v>
      </c>
      <c r="DW110" t="s">
        <v>17</v>
      </c>
      <c r="DX110">
        <v>100</v>
      </c>
      <c r="EE110">
        <v>34176748</v>
      </c>
      <c r="EF110">
        <v>1</v>
      </c>
      <c r="EG110" t="s">
        <v>19</v>
      </c>
      <c r="EH110">
        <v>0</v>
      </c>
      <c r="EI110" t="s">
        <v>3</v>
      </c>
      <c r="EJ110">
        <v>4</v>
      </c>
      <c r="EK110">
        <v>0</v>
      </c>
      <c r="EL110" t="s">
        <v>20</v>
      </c>
      <c r="EM110" t="s">
        <v>21</v>
      </c>
      <c r="EO110" t="s">
        <v>3</v>
      </c>
      <c r="EQ110">
        <v>0</v>
      </c>
      <c r="ER110">
        <v>48416.43</v>
      </c>
      <c r="ES110">
        <v>0</v>
      </c>
      <c r="ET110">
        <v>23380.83</v>
      </c>
      <c r="EU110">
        <v>12376.07</v>
      </c>
      <c r="EV110">
        <v>25035.599999999999</v>
      </c>
      <c r="EW110">
        <v>155</v>
      </c>
      <c r="EX110">
        <v>0</v>
      </c>
      <c r="EY110">
        <v>0</v>
      </c>
      <c r="FQ110">
        <v>0</v>
      </c>
      <c r="FR110">
        <f t="shared" ref="FR110:FR117" si="123">ROUND(IF(AND(BH110=3,BI110=3),P110,0),2)</f>
        <v>0</v>
      </c>
      <c r="FS110">
        <v>0</v>
      </c>
      <c r="FX110">
        <v>70</v>
      </c>
      <c r="FY110">
        <v>10</v>
      </c>
      <c r="GA110" t="s">
        <v>3</v>
      </c>
      <c r="GD110">
        <v>0</v>
      </c>
      <c r="GF110">
        <v>472548043</v>
      </c>
      <c r="GG110">
        <v>2</v>
      </c>
      <c r="GH110">
        <v>1</v>
      </c>
      <c r="GI110">
        <v>-2</v>
      </c>
      <c r="GJ110">
        <v>0</v>
      </c>
      <c r="GK110">
        <f>ROUND(R110*(R12)/100,2)</f>
        <v>568.05999999999995</v>
      </c>
      <c r="GL110">
        <f t="shared" ref="GL110:GL117" si="124">ROUND(IF(AND(BH110=3,BI110=3,FS110&lt;&gt;0),P110,0),2)</f>
        <v>0</v>
      </c>
      <c r="GM110">
        <f>ROUND(O110+X110+Y110+GK110,2)+GX110</f>
        <v>3476.97</v>
      </c>
      <c r="GN110">
        <f>IF(OR(BI110=0,BI110=1),ROUND(O110+X110+Y110+GK110,2),0)</f>
        <v>0</v>
      </c>
      <c r="GO110">
        <f>IF(BI110=2,ROUND(O110+X110+Y110+GK110,2),0)</f>
        <v>0</v>
      </c>
      <c r="GP110">
        <f>IF(BI110=4,ROUND(O110+X110+Y110+GK110,2)+GX110,0)</f>
        <v>3476.97</v>
      </c>
      <c r="GR110">
        <v>0</v>
      </c>
      <c r="GS110">
        <v>3</v>
      </c>
      <c r="GT110">
        <v>0</v>
      </c>
      <c r="GU110" t="s">
        <v>3</v>
      </c>
      <c r="GV110">
        <f t="shared" ref="GV110:GV117" si="125">ROUND(GT110,6)</f>
        <v>0</v>
      </c>
      <c r="GW110">
        <v>1</v>
      </c>
      <c r="GX110">
        <f t="shared" ref="GX110:GX117" si="126">ROUND(GV110*GW110*I110,2)</f>
        <v>0</v>
      </c>
      <c r="HA110">
        <v>0</v>
      </c>
      <c r="HB110">
        <v>0</v>
      </c>
      <c r="IK110">
        <v>0</v>
      </c>
    </row>
    <row r="111" spans="1:245" x14ac:dyDescent="0.2">
      <c r="A111">
        <v>17</v>
      </c>
      <c r="B111">
        <v>1</v>
      </c>
      <c r="C111">
        <f>ROW(SmtRes!A66)</f>
        <v>66</v>
      </c>
      <c r="D111">
        <f>ROW(EtalonRes!A66)</f>
        <v>66</v>
      </c>
      <c r="E111" t="s">
        <v>128</v>
      </c>
      <c r="F111" t="s">
        <v>23</v>
      </c>
      <c r="G111" t="s">
        <v>24</v>
      </c>
      <c r="H111" t="s">
        <v>17</v>
      </c>
      <c r="I111">
        <f>ROUND(85*0.25/100,9)</f>
        <v>0.21249999999999999</v>
      </c>
      <c r="J111">
        <v>0</v>
      </c>
      <c r="O111">
        <f t="shared" si="98"/>
        <v>929.06</v>
      </c>
      <c r="P111">
        <f t="shared" si="99"/>
        <v>0</v>
      </c>
      <c r="Q111">
        <f t="shared" si="100"/>
        <v>663.5</v>
      </c>
      <c r="R111">
        <f t="shared" si="101"/>
        <v>277.20999999999998</v>
      </c>
      <c r="S111">
        <f t="shared" si="102"/>
        <v>265.56</v>
      </c>
      <c r="T111">
        <f t="shared" si="103"/>
        <v>0</v>
      </c>
      <c r="U111">
        <f t="shared" si="104"/>
        <v>2.4862499999999996</v>
      </c>
      <c r="V111">
        <f t="shared" si="105"/>
        <v>0</v>
      </c>
      <c r="W111">
        <f t="shared" si="106"/>
        <v>0</v>
      </c>
      <c r="X111">
        <f t="shared" si="107"/>
        <v>185.89</v>
      </c>
      <c r="Y111">
        <f t="shared" si="107"/>
        <v>26.56</v>
      </c>
      <c r="AA111">
        <v>37598633</v>
      </c>
      <c r="AB111">
        <f t="shared" si="108"/>
        <v>4372.03</v>
      </c>
      <c r="AC111">
        <f t="shared" si="109"/>
        <v>0</v>
      </c>
      <c r="AD111">
        <f>ROUND((((ET111)-(EU111))+AE111),6)</f>
        <v>3122.35</v>
      </c>
      <c r="AE111">
        <f t="shared" si="110"/>
        <v>1304.54</v>
      </c>
      <c r="AF111">
        <f t="shared" si="110"/>
        <v>1249.68</v>
      </c>
      <c r="AG111">
        <f t="shared" si="111"/>
        <v>0</v>
      </c>
      <c r="AH111">
        <f t="shared" si="112"/>
        <v>11.7</v>
      </c>
      <c r="AI111">
        <f t="shared" si="112"/>
        <v>0</v>
      </c>
      <c r="AJ111">
        <f t="shared" si="113"/>
        <v>0</v>
      </c>
      <c r="AK111">
        <v>4372.03</v>
      </c>
      <c r="AL111">
        <v>0</v>
      </c>
      <c r="AM111">
        <v>3122.35</v>
      </c>
      <c r="AN111">
        <v>1304.54</v>
      </c>
      <c r="AO111">
        <v>1249.68</v>
      </c>
      <c r="AP111">
        <v>0</v>
      </c>
      <c r="AQ111">
        <v>11.7</v>
      </c>
      <c r="AR111">
        <v>0</v>
      </c>
      <c r="AS111">
        <v>0</v>
      </c>
      <c r="AT111">
        <v>70</v>
      </c>
      <c r="AU111">
        <v>10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v>1</v>
      </c>
      <c r="BD111" t="s">
        <v>3</v>
      </c>
      <c r="BE111" t="s">
        <v>3</v>
      </c>
      <c r="BF111" t="s">
        <v>3</v>
      </c>
      <c r="BG111" t="s">
        <v>3</v>
      </c>
      <c r="BH111">
        <v>0</v>
      </c>
      <c r="BI111">
        <v>4</v>
      </c>
      <c r="BJ111" t="s">
        <v>25</v>
      </c>
      <c r="BM111">
        <v>0</v>
      </c>
      <c r="BN111">
        <v>0</v>
      </c>
      <c r="BO111" t="s">
        <v>3</v>
      </c>
      <c r="BP111">
        <v>0</v>
      </c>
      <c r="BQ111">
        <v>1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3</v>
      </c>
      <c r="BZ111">
        <v>70</v>
      </c>
      <c r="CA111">
        <v>10</v>
      </c>
      <c r="CF111">
        <v>0</v>
      </c>
      <c r="CG111">
        <v>0</v>
      </c>
      <c r="CM111">
        <v>0</v>
      </c>
      <c r="CN111" t="s">
        <v>3</v>
      </c>
      <c r="CO111">
        <v>0</v>
      </c>
      <c r="CP111">
        <f t="shared" si="114"/>
        <v>929.06</v>
      </c>
      <c r="CQ111">
        <f t="shared" si="115"/>
        <v>0</v>
      </c>
      <c r="CR111">
        <f>((((ET111)*BB111-(EU111)*BS111)+AE111*BS111)*AV111)</f>
        <v>3122.35</v>
      </c>
      <c r="CS111">
        <f t="shared" si="116"/>
        <v>1304.54</v>
      </c>
      <c r="CT111">
        <f t="shared" si="117"/>
        <v>1249.68</v>
      </c>
      <c r="CU111">
        <f t="shared" si="118"/>
        <v>0</v>
      </c>
      <c r="CV111">
        <f t="shared" si="119"/>
        <v>11.7</v>
      </c>
      <c r="CW111">
        <f t="shared" si="120"/>
        <v>0</v>
      </c>
      <c r="CX111">
        <f t="shared" si="120"/>
        <v>0</v>
      </c>
      <c r="CY111">
        <f t="shared" si="121"/>
        <v>185.892</v>
      </c>
      <c r="CZ111">
        <f t="shared" si="122"/>
        <v>26.555999999999997</v>
      </c>
      <c r="DC111" t="s">
        <v>3</v>
      </c>
      <c r="DD111" t="s">
        <v>3</v>
      </c>
      <c r="DE111" t="s">
        <v>3</v>
      </c>
      <c r="DF111" t="s">
        <v>3</v>
      </c>
      <c r="DG111" t="s">
        <v>3</v>
      </c>
      <c r="DH111" t="s">
        <v>3</v>
      </c>
      <c r="DI111" t="s">
        <v>3</v>
      </c>
      <c r="DJ111" t="s">
        <v>3</v>
      </c>
      <c r="DK111" t="s">
        <v>3</v>
      </c>
      <c r="DL111" t="s">
        <v>3</v>
      </c>
      <c r="DM111" t="s">
        <v>3</v>
      </c>
      <c r="DN111">
        <v>0</v>
      </c>
      <c r="DO111">
        <v>0</v>
      </c>
      <c r="DP111">
        <v>1</v>
      </c>
      <c r="DQ111">
        <v>1</v>
      </c>
      <c r="DU111">
        <v>1007</v>
      </c>
      <c r="DV111" t="s">
        <v>17</v>
      </c>
      <c r="DW111" t="s">
        <v>17</v>
      </c>
      <c r="DX111">
        <v>100</v>
      </c>
      <c r="EE111">
        <v>34176748</v>
      </c>
      <c r="EF111">
        <v>1</v>
      </c>
      <c r="EG111" t="s">
        <v>19</v>
      </c>
      <c r="EH111">
        <v>0</v>
      </c>
      <c r="EI111" t="s">
        <v>3</v>
      </c>
      <c r="EJ111">
        <v>4</v>
      </c>
      <c r="EK111">
        <v>0</v>
      </c>
      <c r="EL111" t="s">
        <v>20</v>
      </c>
      <c r="EM111" t="s">
        <v>21</v>
      </c>
      <c r="EO111" t="s">
        <v>3</v>
      </c>
      <c r="EQ111">
        <v>0</v>
      </c>
      <c r="ER111">
        <v>4372.03</v>
      </c>
      <c r="ES111">
        <v>0</v>
      </c>
      <c r="ET111">
        <v>3122.35</v>
      </c>
      <c r="EU111">
        <v>1304.54</v>
      </c>
      <c r="EV111">
        <v>1249.68</v>
      </c>
      <c r="EW111">
        <v>11.7</v>
      </c>
      <c r="EX111">
        <v>0</v>
      </c>
      <c r="EY111">
        <v>0</v>
      </c>
      <c r="FQ111">
        <v>0</v>
      </c>
      <c r="FR111">
        <f t="shared" si="123"/>
        <v>0</v>
      </c>
      <c r="FS111">
        <v>0</v>
      </c>
      <c r="FX111">
        <v>70</v>
      </c>
      <c r="FY111">
        <v>10</v>
      </c>
      <c r="GA111" t="s">
        <v>3</v>
      </c>
      <c r="GD111">
        <v>0</v>
      </c>
      <c r="GF111">
        <v>-274209699</v>
      </c>
      <c r="GG111">
        <v>2</v>
      </c>
      <c r="GH111">
        <v>1</v>
      </c>
      <c r="GI111">
        <v>-2</v>
      </c>
      <c r="GJ111">
        <v>0</v>
      </c>
      <c r="GK111">
        <f>ROUND(R111*(R12)/100,2)</f>
        <v>299.39</v>
      </c>
      <c r="GL111">
        <f t="shared" si="124"/>
        <v>0</v>
      </c>
      <c r="GM111">
        <f>ROUND(O111+X111+Y111+GK111,2)+GX111</f>
        <v>1440.9</v>
      </c>
      <c r="GN111">
        <f>IF(OR(BI111=0,BI111=1),ROUND(O111+X111+Y111+GK111,2),0)</f>
        <v>0</v>
      </c>
      <c r="GO111">
        <f>IF(BI111=2,ROUND(O111+X111+Y111+GK111,2),0)</f>
        <v>0</v>
      </c>
      <c r="GP111">
        <f>IF(BI111=4,ROUND(O111+X111+Y111+GK111,2)+GX111,0)</f>
        <v>1440.9</v>
      </c>
      <c r="GR111">
        <v>0</v>
      </c>
      <c r="GS111">
        <v>3</v>
      </c>
      <c r="GT111">
        <v>0</v>
      </c>
      <c r="GU111" t="s">
        <v>3</v>
      </c>
      <c r="GV111">
        <f t="shared" si="125"/>
        <v>0</v>
      </c>
      <c r="GW111">
        <v>1</v>
      </c>
      <c r="GX111">
        <f t="shared" si="126"/>
        <v>0</v>
      </c>
      <c r="HA111">
        <v>0</v>
      </c>
      <c r="HB111">
        <v>0</v>
      </c>
      <c r="IK111">
        <v>0</v>
      </c>
    </row>
    <row r="112" spans="1:245" x14ac:dyDescent="0.2">
      <c r="A112">
        <v>17</v>
      </c>
      <c r="B112">
        <v>1</v>
      </c>
      <c r="C112">
        <f>ROW(SmtRes!A67)</f>
        <v>67</v>
      </c>
      <c r="D112">
        <f>ROW(EtalonRes!A67)</f>
        <v>67</v>
      </c>
      <c r="E112" t="s">
        <v>129</v>
      </c>
      <c r="F112" t="s">
        <v>27</v>
      </c>
      <c r="G112" t="s">
        <v>28</v>
      </c>
      <c r="H112" t="s">
        <v>29</v>
      </c>
      <c r="I112">
        <v>28.25</v>
      </c>
      <c r="J112">
        <v>0</v>
      </c>
      <c r="O112">
        <f t="shared" si="98"/>
        <v>1966.2</v>
      </c>
      <c r="P112">
        <f t="shared" si="99"/>
        <v>0</v>
      </c>
      <c r="Q112">
        <f t="shared" si="100"/>
        <v>1966.2</v>
      </c>
      <c r="R112">
        <f t="shared" si="101"/>
        <v>790.72</v>
      </c>
      <c r="S112">
        <f t="shared" si="102"/>
        <v>0</v>
      </c>
      <c r="T112">
        <f t="shared" si="103"/>
        <v>0</v>
      </c>
      <c r="U112">
        <f t="shared" si="104"/>
        <v>0</v>
      </c>
      <c r="V112">
        <f t="shared" si="105"/>
        <v>0</v>
      </c>
      <c r="W112">
        <f t="shared" si="106"/>
        <v>0</v>
      </c>
      <c r="X112">
        <f t="shared" si="107"/>
        <v>0</v>
      </c>
      <c r="Y112">
        <f t="shared" si="107"/>
        <v>0</v>
      </c>
      <c r="AA112">
        <v>37598633</v>
      </c>
      <c r="AB112">
        <f t="shared" si="108"/>
        <v>69.599999999999994</v>
      </c>
      <c r="AC112">
        <f t="shared" si="109"/>
        <v>0</v>
      </c>
      <c r="AD112">
        <f>ROUND((((ET112)-(EU112))+AE112),6)</f>
        <v>69.599999999999994</v>
      </c>
      <c r="AE112">
        <f t="shared" si="110"/>
        <v>27.99</v>
      </c>
      <c r="AF112">
        <f t="shared" si="110"/>
        <v>0</v>
      </c>
      <c r="AG112">
        <f t="shared" si="111"/>
        <v>0</v>
      </c>
      <c r="AH112">
        <f t="shared" si="112"/>
        <v>0</v>
      </c>
      <c r="AI112">
        <f t="shared" si="112"/>
        <v>0</v>
      </c>
      <c r="AJ112">
        <f t="shared" si="113"/>
        <v>0</v>
      </c>
      <c r="AK112">
        <v>69.599999999999994</v>
      </c>
      <c r="AL112">
        <v>0</v>
      </c>
      <c r="AM112">
        <v>69.599999999999994</v>
      </c>
      <c r="AN112">
        <v>27.99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70</v>
      </c>
      <c r="AU112">
        <v>10</v>
      </c>
      <c r="AV112">
        <v>1</v>
      </c>
      <c r="AW112">
        <v>1</v>
      </c>
      <c r="AZ112">
        <v>1</v>
      </c>
      <c r="BA112">
        <v>1</v>
      </c>
      <c r="BB112">
        <v>1</v>
      </c>
      <c r="BC112">
        <v>1</v>
      </c>
      <c r="BD112" t="s">
        <v>3</v>
      </c>
      <c r="BE112" t="s">
        <v>3</v>
      </c>
      <c r="BF112" t="s">
        <v>3</v>
      </c>
      <c r="BG112" t="s">
        <v>3</v>
      </c>
      <c r="BH112">
        <v>0</v>
      </c>
      <c r="BI112">
        <v>4</v>
      </c>
      <c r="BJ112" t="s">
        <v>30</v>
      </c>
      <c r="BM112">
        <v>0</v>
      </c>
      <c r="BN112">
        <v>0</v>
      </c>
      <c r="BO112" t="s">
        <v>3</v>
      </c>
      <c r="BP112">
        <v>0</v>
      </c>
      <c r="BQ112">
        <v>1</v>
      </c>
      <c r="BR112">
        <v>0</v>
      </c>
      <c r="BS112">
        <v>1</v>
      </c>
      <c r="BT112">
        <v>1</v>
      </c>
      <c r="BU112">
        <v>1</v>
      </c>
      <c r="BV112">
        <v>1</v>
      </c>
      <c r="BW112">
        <v>1</v>
      </c>
      <c r="BX112">
        <v>1</v>
      </c>
      <c r="BY112" t="s">
        <v>3</v>
      </c>
      <c r="BZ112">
        <v>70</v>
      </c>
      <c r="CA112">
        <v>10</v>
      </c>
      <c r="CF112">
        <v>0</v>
      </c>
      <c r="CG112">
        <v>0</v>
      </c>
      <c r="CM112">
        <v>0</v>
      </c>
      <c r="CN112" t="s">
        <v>3</v>
      </c>
      <c r="CO112">
        <v>0</v>
      </c>
      <c r="CP112">
        <f t="shared" si="114"/>
        <v>1966.2</v>
      </c>
      <c r="CQ112">
        <f t="shared" si="115"/>
        <v>0</v>
      </c>
      <c r="CR112">
        <f>((((ET112)*BB112-(EU112)*BS112)+AE112*BS112)*AV112)</f>
        <v>69.599999999999994</v>
      </c>
      <c r="CS112">
        <f t="shared" si="116"/>
        <v>27.99</v>
      </c>
      <c r="CT112">
        <f t="shared" si="117"/>
        <v>0</v>
      </c>
      <c r="CU112">
        <f t="shared" si="118"/>
        <v>0</v>
      </c>
      <c r="CV112">
        <f t="shared" si="119"/>
        <v>0</v>
      </c>
      <c r="CW112">
        <f t="shared" si="120"/>
        <v>0</v>
      </c>
      <c r="CX112">
        <f t="shared" si="120"/>
        <v>0</v>
      </c>
      <c r="CY112">
        <f t="shared" si="121"/>
        <v>0</v>
      </c>
      <c r="CZ112">
        <f t="shared" si="122"/>
        <v>0</v>
      </c>
      <c r="DC112" t="s">
        <v>3</v>
      </c>
      <c r="DD112" t="s">
        <v>3</v>
      </c>
      <c r="DE112" t="s">
        <v>3</v>
      </c>
      <c r="DF112" t="s">
        <v>3</v>
      </c>
      <c r="DG112" t="s">
        <v>3</v>
      </c>
      <c r="DH112" t="s">
        <v>3</v>
      </c>
      <c r="DI112" t="s">
        <v>3</v>
      </c>
      <c r="DJ112" t="s">
        <v>3</v>
      </c>
      <c r="DK112" t="s">
        <v>3</v>
      </c>
      <c r="DL112" t="s">
        <v>3</v>
      </c>
      <c r="DM112" t="s">
        <v>3</v>
      </c>
      <c r="DN112">
        <v>0</v>
      </c>
      <c r="DO112">
        <v>0</v>
      </c>
      <c r="DP112">
        <v>1</v>
      </c>
      <c r="DQ112">
        <v>1</v>
      </c>
      <c r="DU112">
        <v>1009</v>
      </c>
      <c r="DV112" t="s">
        <v>29</v>
      </c>
      <c r="DW112" t="s">
        <v>29</v>
      </c>
      <c r="DX112">
        <v>1000</v>
      </c>
      <c r="EE112">
        <v>34176748</v>
      </c>
      <c r="EF112">
        <v>1</v>
      </c>
      <c r="EG112" t="s">
        <v>19</v>
      </c>
      <c r="EH112">
        <v>0</v>
      </c>
      <c r="EI112" t="s">
        <v>3</v>
      </c>
      <c r="EJ112">
        <v>4</v>
      </c>
      <c r="EK112">
        <v>0</v>
      </c>
      <c r="EL112" t="s">
        <v>20</v>
      </c>
      <c r="EM112" t="s">
        <v>21</v>
      </c>
      <c r="EO112" t="s">
        <v>3</v>
      </c>
      <c r="EQ112">
        <v>0</v>
      </c>
      <c r="ER112">
        <v>69.599999999999994</v>
      </c>
      <c r="ES112">
        <v>0</v>
      </c>
      <c r="ET112">
        <v>69.599999999999994</v>
      </c>
      <c r="EU112">
        <v>27.99</v>
      </c>
      <c r="EV112">
        <v>0</v>
      </c>
      <c r="EW112">
        <v>0</v>
      </c>
      <c r="EX112">
        <v>0</v>
      </c>
      <c r="EY112">
        <v>0</v>
      </c>
      <c r="FQ112">
        <v>0</v>
      </c>
      <c r="FR112">
        <f t="shared" si="123"/>
        <v>0</v>
      </c>
      <c r="FS112">
        <v>0</v>
      </c>
      <c r="FX112">
        <v>70</v>
      </c>
      <c r="FY112">
        <v>10</v>
      </c>
      <c r="GA112" t="s">
        <v>3</v>
      </c>
      <c r="GD112">
        <v>0</v>
      </c>
      <c r="GF112">
        <v>1611252458</v>
      </c>
      <c r="GG112">
        <v>2</v>
      </c>
      <c r="GH112">
        <v>1</v>
      </c>
      <c r="GI112">
        <v>-2</v>
      </c>
      <c r="GJ112">
        <v>0</v>
      </c>
      <c r="GK112">
        <f>ROUND(R112*(R12)/100,2)</f>
        <v>853.98</v>
      </c>
      <c r="GL112">
        <f t="shared" si="124"/>
        <v>0</v>
      </c>
      <c r="GM112">
        <f>ROUND(O112+X112+Y112+GK112,2)+GX112</f>
        <v>2820.18</v>
      </c>
      <c r="GN112">
        <f>IF(OR(BI112=0,BI112=1),ROUND(O112+X112+Y112+GK112,2),0)</f>
        <v>0</v>
      </c>
      <c r="GO112">
        <f>IF(BI112=2,ROUND(O112+X112+Y112+GK112,2),0)</f>
        <v>0</v>
      </c>
      <c r="GP112">
        <f>IF(BI112=4,ROUND(O112+X112+Y112+GK112,2)+GX112,0)</f>
        <v>2820.18</v>
      </c>
      <c r="GR112">
        <v>0</v>
      </c>
      <c r="GS112">
        <v>3</v>
      </c>
      <c r="GT112">
        <v>0</v>
      </c>
      <c r="GU112" t="s">
        <v>3</v>
      </c>
      <c r="GV112">
        <f t="shared" si="125"/>
        <v>0</v>
      </c>
      <c r="GW112">
        <v>1</v>
      </c>
      <c r="GX112">
        <f t="shared" si="126"/>
        <v>0</v>
      </c>
      <c r="HA112">
        <v>0</v>
      </c>
      <c r="HB112">
        <v>0</v>
      </c>
      <c r="IK112">
        <v>0</v>
      </c>
    </row>
    <row r="113" spans="1:245" x14ac:dyDescent="0.2">
      <c r="A113">
        <v>17</v>
      </c>
      <c r="B113">
        <v>1</v>
      </c>
      <c r="C113">
        <f>ROW(SmtRes!A69)</f>
        <v>69</v>
      </c>
      <c r="D113">
        <f>ROW(EtalonRes!A69)</f>
        <v>69</v>
      </c>
      <c r="E113" t="s">
        <v>130</v>
      </c>
      <c r="F113" t="s">
        <v>32</v>
      </c>
      <c r="G113" t="s">
        <v>33</v>
      </c>
      <c r="H113" t="s">
        <v>29</v>
      </c>
      <c r="I113">
        <f>ROUND(I112,9)</f>
        <v>28.25</v>
      </c>
      <c r="J113">
        <v>0</v>
      </c>
      <c r="O113">
        <f t="shared" si="98"/>
        <v>1794.16</v>
      </c>
      <c r="P113">
        <f t="shared" si="99"/>
        <v>0</v>
      </c>
      <c r="Q113">
        <f t="shared" si="100"/>
        <v>1794.16</v>
      </c>
      <c r="R113">
        <f t="shared" si="101"/>
        <v>1346.68</v>
      </c>
      <c r="S113">
        <f t="shared" si="102"/>
        <v>0</v>
      </c>
      <c r="T113">
        <f t="shared" si="103"/>
        <v>0</v>
      </c>
      <c r="U113">
        <f t="shared" si="104"/>
        <v>0</v>
      </c>
      <c r="V113">
        <f t="shared" si="105"/>
        <v>0</v>
      </c>
      <c r="W113">
        <f t="shared" si="106"/>
        <v>0</v>
      </c>
      <c r="X113">
        <f t="shared" si="107"/>
        <v>0</v>
      </c>
      <c r="Y113">
        <f t="shared" si="107"/>
        <v>0</v>
      </c>
      <c r="AA113">
        <v>37598633</v>
      </c>
      <c r="AB113">
        <f t="shared" si="108"/>
        <v>63.51</v>
      </c>
      <c r="AC113">
        <f t="shared" si="109"/>
        <v>0</v>
      </c>
      <c r="AD113">
        <f>ROUND((((ET113)-(EU113))+AE113),6)</f>
        <v>63.51</v>
      </c>
      <c r="AE113">
        <f t="shared" si="110"/>
        <v>47.67</v>
      </c>
      <c r="AF113">
        <f t="shared" si="110"/>
        <v>0</v>
      </c>
      <c r="AG113">
        <f t="shared" si="111"/>
        <v>0</v>
      </c>
      <c r="AH113">
        <f t="shared" si="112"/>
        <v>0</v>
      </c>
      <c r="AI113">
        <f t="shared" si="112"/>
        <v>0</v>
      </c>
      <c r="AJ113">
        <f t="shared" si="113"/>
        <v>0</v>
      </c>
      <c r="AK113">
        <v>63.51</v>
      </c>
      <c r="AL113">
        <v>0</v>
      </c>
      <c r="AM113">
        <v>63.51</v>
      </c>
      <c r="AN113">
        <v>47.67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1</v>
      </c>
      <c r="AW113">
        <v>1</v>
      </c>
      <c r="AZ113">
        <v>1</v>
      </c>
      <c r="BA113">
        <v>1</v>
      </c>
      <c r="BB113">
        <v>1</v>
      </c>
      <c r="BC113">
        <v>1</v>
      </c>
      <c r="BD113" t="s">
        <v>3</v>
      </c>
      <c r="BE113" t="s">
        <v>3</v>
      </c>
      <c r="BF113" t="s">
        <v>3</v>
      </c>
      <c r="BG113" t="s">
        <v>3</v>
      </c>
      <c r="BH113">
        <v>0</v>
      </c>
      <c r="BI113">
        <v>4</v>
      </c>
      <c r="BJ113" t="s">
        <v>34</v>
      </c>
      <c r="BM113">
        <v>1</v>
      </c>
      <c r="BN113">
        <v>0</v>
      </c>
      <c r="BO113" t="s">
        <v>3</v>
      </c>
      <c r="BP113">
        <v>0</v>
      </c>
      <c r="BQ113">
        <v>1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 t="s">
        <v>3</v>
      </c>
      <c r="BZ113">
        <v>0</v>
      </c>
      <c r="CA113">
        <v>0</v>
      </c>
      <c r="CF113">
        <v>0</v>
      </c>
      <c r="CG113">
        <v>0</v>
      </c>
      <c r="CM113">
        <v>0</v>
      </c>
      <c r="CN113" t="s">
        <v>3</v>
      </c>
      <c r="CO113">
        <v>0</v>
      </c>
      <c r="CP113">
        <f t="shared" si="114"/>
        <v>1794.16</v>
      </c>
      <c r="CQ113">
        <f t="shared" si="115"/>
        <v>0</v>
      </c>
      <c r="CR113">
        <f>((((ET113)*BB113-(EU113)*BS113)+AE113*BS113)*AV113)</f>
        <v>63.51</v>
      </c>
      <c r="CS113">
        <f t="shared" si="116"/>
        <v>47.67</v>
      </c>
      <c r="CT113">
        <f t="shared" si="117"/>
        <v>0</v>
      </c>
      <c r="CU113">
        <f t="shared" si="118"/>
        <v>0</v>
      </c>
      <c r="CV113">
        <f t="shared" si="119"/>
        <v>0</v>
      </c>
      <c r="CW113">
        <f t="shared" si="120"/>
        <v>0</v>
      </c>
      <c r="CX113">
        <f t="shared" si="120"/>
        <v>0</v>
      </c>
      <c r="CY113">
        <f t="shared" si="121"/>
        <v>0</v>
      </c>
      <c r="CZ113">
        <f t="shared" si="122"/>
        <v>0</v>
      </c>
      <c r="DC113" t="s">
        <v>3</v>
      </c>
      <c r="DD113" t="s">
        <v>3</v>
      </c>
      <c r="DE113" t="s">
        <v>3</v>
      </c>
      <c r="DF113" t="s">
        <v>3</v>
      </c>
      <c r="DG113" t="s">
        <v>3</v>
      </c>
      <c r="DH113" t="s">
        <v>3</v>
      </c>
      <c r="DI113" t="s">
        <v>3</v>
      </c>
      <c r="DJ113" t="s">
        <v>3</v>
      </c>
      <c r="DK113" t="s">
        <v>3</v>
      </c>
      <c r="DL113" t="s">
        <v>3</v>
      </c>
      <c r="DM113" t="s">
        <v>3</v>
      </c>
      <c r="DN113">
        <v>0</v>
      </c>
      <c r="DO113">
        <v>0</v>
      </c>
      <c r="DP113">
        <v>1</v>
      </c>
      <c r="DQ113">
        <v>1</v>
      </c>
      <c r="DU113">
        <v>1009</v>
      </c>
      <c r="DV113" t="s">
        <v>29</v>
      </c>
      <c r="DW113" t="s">
        <v>29</v>
      </c>
      <c r="DX113">
        <v>1000</v>
      </c>
      <c r="EE113">
        <v>34176750</v>
      </c>
      <c r="EF113">
        <v>1</v>
      </c>
      <c r="EG113" t="s">
        <v>19</v>
      </c>
      <c r="EH113">
        <v>0</v>
      </c>
      <c r="EI113" t="s">
        <v>3</v>
      </c>
      <c r="EJ113">
        <v>4</v>
      </c>
      <c r="EK113">
        <v>1</v>
      </c>
      <c r="EL113" t="s">
        <v>35</v>
      </c>
      <c r="EM113" t="s">
        <v>21</v>
      </c>
      <c r="EO113" t="s">
        <v>3</v>
      </c>
      <c r="EQ113">
        <v>0</v>
      </c>
      <c r="ER113">
        <v>63.51</v>
      </c>
      <c r="ES113">
        <v>0</v>
      </c>
      <c r="ET113">
        <v>63.51</v>
      </c>
      <c r="EU113">
        <v>47.67</v>
      </c>
      <c r="EV113">
        <v>0</v>
      </c>
      <c r="EW113">
        <v>0</v>
      </c>
      <c r="EX113">
        <v>0</v>
      </c>
      <c r="EY113">
        <v>0</v>
      </c>
      <c r="FQ113">
        <v>0</v>
      </c>
      <c r="FR113">
        <f t="shared" si="123"/>
        <v>0</v>
      </c>
      <c r="FS113">
        <v>0</v>
      </c>
      <c r="FX113">
        <v>0</v>
      </c>
      <c r="FY113">
        <v>0</v>
      </c>
      <c r="GA113" t="s">
        <v>3</v>
      </c>
      <c r="GD113">
        <v>1</v>
      </c>
      <c r="GF113">
        <v>-1761436808</v>
      </c>
      <c r="GG113">
        <v>2</v>
      </c>
      <c r="GH113">
        <v>1</v>
      </c>
      <c r="GI113">
        <v>-2</v>
      </c>
      <c r="GJ113">
        <v>0</v>
      </c>
      <c r="GK113">
        <v>0</v>
      </c>
      <c r="GL113">
        <f t="shared" si="124"/>
        <v>0</v>
      </c>
      <c r="GM113">
        <f>ROUND(O113+X113+Y113,2)+GX113</f>
        <v>1794.16</v>
      </c>
      <c r="GN113">
        <f>IF(OR(BI113=0,BI113=1),ROUND(O113+X113+Y113,2),0)</f>
        <v>0</v>
      </c>
      <c r="GO113">
        <f>IF(BI113=2,ROUND(O113+X113+Y113,2),0)</f>
        <v>0</v>
      </c>
      <c r="GP113">
        <f>IF(BI113=4,ROUND(O113+X113+Y113,2)+GX113,0)</f>
        <v>1794.16</v>
      </c>
      <c r="GR113">
        <v>0</v>
      </c>
      <c r="GS113">
        <v>3</v>
      </c>
      <c r="GT113">
        <v>0</v>
      </c>
      <c r="GU113" t="s">
        <v>3</v>
      </c>
      <c r="GV113">
        <f t="shared" si="125"/>
        <v>0</v>
      </c>
      <c r="GW113">
        <v>1</v>
      </c>
      <c r="GX113">
        <f t="shared" si="126"/>
        <v>0</v>
      </c>
      <c r="HA113">
        <v>0</v>
      </c>
      <c r="HB113">
        <v>0</v>
      </c>
      <c r="IK113">
        <v>0</v>
      </c>
    </row>
    <row r="114" spans="1:245" x14ac:dyDescent="0.2">
      <c r="A114">
        <v>17</v>
      </c>
      <c r="B114">
        <v>1</v>
      </c>
      <c r="C114">
        <f>ROW(SmtRes!A71)</f>
        <v>71</v>
      </c>
      <c r="D114">
        <f>ROW(EtalonRes!A71)</f>
        <v>71</v>
      </c>
      <c r="E114" t="s">
        <v>131</v>
      </c>
      <c r="F114" t="s">
        <v>37</v>
      </c>
      <c r="G114" t="s">
        <v>38</v>
      </c>
      <c r="H114" t="s">
        <v>29</v>
      </c>
      <c r="I114">
        <f>ROUND(I113,9)</f>
        <v>28.25</v>
      </c>
      <c r="J114">
        <v>0</v>
      </c>
      <c r="O114">
        <f t="shared" si="98"/>
        <v>21145.13</v>
      </c>
      <c r="P114">
        <f t="shared" si="99"/>
        <v>0</v>
      </c>
      <c r="Q114">
        <f t="shared" si="100"/>
        <v>21145.13</v>
      </c>
      <c r="R114">
        <f t="shared" si="101"/>
        <v>15883.56</v>
      </c>
      <c r="S114">
        <f t="shared" si="102"/>
        <v>0</v>
      </c>
      <c r="T114">
        <f t="shared" si="103"/>
        <v>0</v>
      </c>
      <c r="U114">
        <f t="shared" si="104"/>
        <v>0</v>
      </c>
      <c r="V114">
        <f t="shared" si="105"/>
        <v>0</v>
      </c>
      <c r="W114">
        <f t="shared" si="106"/>
        <v>0</v>
      </c>
      <c r="X114">
        <f t="shared" si="107"/>
        <v>0</v>
      </c>
      <c r="Y114">
        <f t="shared" si="107"/>
        <v>0</v>
      </c>
      <c r="AA114">
        <v>37598633</v>
      </c>
      <c r="AB114">
        <f t="shared" si="108"/>
        <v>748.5</v>
      </c>
      <c r="AC114">
        <f t="shared" si="109"/>
        <v>0</v>
      </c>
      <c r="AD114">
        <f>ROUND(((((ET114*25))-((EU114*25)))+AE114),6)</f>
        <v>748.5</v>
      </c>
      <c r="AE114">
        <f>ROUND(((EU114*25)),6)</f>
        <v>562.25</v>
      </c>
      <c r="AF114">
        <f>ROUND(((EV114*25)),6)</f>
        <v>0</v>
      </c>
      <c r="AG114">
        <f t="shared" si="111"/>
        <v>0</v>
      </c>
      <c r="AH114">
        <f>((EW114*25))</f>
        <v>0</v>
      </c>
      <c r="AI114">
        <f>((EX114*25))</f>
        <v>0</v>
      </c>
      <c r="AJ114">
        <f t="shared" si="113"/>
        <v>0</v>
      </c>
      <c r="AK114">
        <v>29.94</v>
      </c>
      <c r="AL114">
        <v>0</v>
      </c>
      <c r="AM114">
        <v>29.94</v>
      </c>
      <c r="AN114">
        <v>22.49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1</v>
      </c>
      <c r="AW114">
        <v>1</v>
      </c>
      <c r="AZ114">
        <v>1</v>
      </c>
      <c r="BA114">
        <v>1</v>
      </c>
      <c r="BB114">
        <v>1</v>
      </c>
      <c r="BC114">
        <v>1</v>
      </c>
      <c r="BD114" t="s">
        <v>3</v>
      </c>
      <c r="BE114" t="s">
        <v>3</v>
      </c>
      <c r="BF114" t="s">
        <v>3</v>
      </c>
      <c r="BG114" t="s">
        <v>3</v>
      </c>
      <c r="BH114">
        <v>0</v>
      </c>
      <c r="BI114">
        <v>4</v>
      </c>
      <c r="BJ114" t="s">
        <v>39</v>
      </c>
      <c r="BM114">
        <v>1</v>
      </c>
      <c r="BN114">
        <v>0</v>
      </c>
      <c r="BO114" t="s">
        <v>3</v>
      </c>
      <c r="BP114">
        <v>0</v>
      </c>
      <c r="BQ114">
        <v>1</v>
      </c>
      <c r="BR114">
        <v>0</v>
      </c>
      <c r="BS114">
        <v>1</v>
      </c>
      <c r="BT114">
        <v>1</v>
      </c>
      <c r="BU114">
        <v>1</v>
      </c>
      <c r="BV114">
        <v>1</v>
      </c>
      <c r="BW114">
        <v>1</v>
      </c>
      <c r="BX114">
        <v>1</v>
      </c>
      <c r="BY114" t="s">
        <v>3</v>
      </c>
      <c r="BZ114">
        <v>0</v>
      </c>
      <c r="CA114">
        <v>0</v>
      </c>
      <c r="CF114">
        <v>0</v>
      </c>
      <c r="CG114">
        <v>0</v>
      </c>
      <c r="CM114">
        <v>0</v>
      </c>
      <c r="CN114" t="s">
        <v>3</v>
      </c>
      <c r="CO114">
        <v>0</v>
      </c>
      <c r="CP114">
        <f t="shared" si="114"/>
        <v>21145.13</v>
      </c>
      <c r="CQ114">
        <f t="shared" si="115"/>
        <v>0</v>
      </c>
      <c r="CR114">
        <f>(((((ET114*25))*BB114-((EU114*25))*BS114)+AE114*BS114)*AV114)</f>
        <v>748.5</v>
      </c>
      <c r="CS114">
        <f t="shared" si="116"/>
        <v>562.25</v>
      </c>
      <c r="CT114">
        <f t="shared" si="117"/>
        <v>0</v>
      </c>
      <c r="CU114">
        <f t="shared" si="118"/>
        <v>0</v>
      </c>
      <c r="CV114">
        <f t="shared" si="119"/>
        <v>0</v>
      </c>
      <c r="CW114">
        <f t="shared" si="120"/>
        <v>0</v>
      </c>
      <c r="CX114">
        <f t="shared" si="120"/>
        <v>0</v>
      </c>
      <c r="CY114">
        <f t="shared" si="121"/>
        <v>0</v>
      </c>
      <c r="CZ114">
        <f t="shared" si="122"/>
        <v>0</v>
      </c>
      <c r="DC114" t="s">
        <v>3</v>
      </c>
      <c r="DD114" t="s">
        <v>3</v>
      </c>
      <c r="DE114" t="s">
        <v>40</v>
      </c>
      <c r="DF114" t="s">
        <v>40</v>
      </c>
      <c r="DG114" t="s">
        <v>40</v>
      </c>
      <c r="DH114" t="s">
        <v>3</v>
      </c>
      <c r="DI114" t="s">
        <v>40</v>
      </c>
      <c r="DJ114" t="s">
        <v>40</v>
      </c>
      <c r="DK114" t="s">
        <v>3</v>
      </c>
      <c r="DL114" t="s">
        <v>3</v>
      </c>
      <c r="DM114" t="s">
        <v>3</v>
      </c>
      <c r="DN114">
        <v>0</v>
      </c>
      <c r="DO114">
        <v>0</v>
      </c>
      <c r="DP114">
        <v>1</v>
      </c>
      <c r="DQ114">
        <v>1</v>
      </c>
      <c r="DU114">
        <v>1009</v>
      </c>
      <c r="DV114" t="s">
        <v>29</v>
      </c>
      <c r="DW114" t="s">
        <v>29</v>
      </c>
      <c r="DX114">
        <v>1000</v>
      </c>
      <c r="EE114">
        <v>34176750</v>
      </c>
      <c r="EF114">
        <v>1</v>
      </c>
      <c r="EG114" t="s">
        <v>19</v>
      </c>
      <c r="EH114">
        <v>0</v>
      </c>
      <c r="EI114" t="s">
        <v>3</v>
      </c>
      <c r="EJ114">
        <v>4</v>
      </c>
      <c r="EK114">
        <v>1</v>
      </c>
      <c r="EL114" t="s">
        <v>35</v>
      </c>
      <c r="EM114" t="s">
        <v>21</v>
      </c>
      <c r="EO114" t="s">
        <v>3</v>
      </c>
      <c r="EQ114">
        <v>0</v>
      </c>
      <c r="ER114">
        <v>29.94</v>
      </c>
      <c r="ES114">
        <v>0</v>
      </c>
      <c r="ET114">
        <v>29.94</v>
      </c>
      <c r="EU114">
        <v>22.49</v>
      </c>
      <c r="EV114">
        <v>0</v>
      </c>
      <c r="EW114">
        <v>0</v>
      </c>
      <c r="EX114">
        <v>0</v>
      </c>
      <c r="EY114">
        <v>0</v>
      </c>
      <c r="FQ114">
        <v>0</v>
      </c>
      <c r="FR114">
        <f t="shared" si="123"/>
        <v>0</v>
      </c>
      <c r="FS114">
        <v>0</v>
      </c>
      <c r="FX114">
        <v>0</v>
      </c>
      <c r="FY114">
        <v>0</v>
      </c>
      <c r="GA114" t="s">
        <v>3</v>
      </c>
      <c r="GD114">
        <v>1</v>
      </c>
      <c r="GF114">
        <v>-254906126</v>
      </c>
      <c r="GG114">
        <v>2</v>
      </c>
      <c r="GH114">
        <v>1</v>
      </c>
      <c r="GI114">
        <v>-2</v>
      </c>
      <c r="GJ114">
        <v>0</v>
      </c>
      <c r="GK114">
        <v>0</v>
      </c>
      <c r="GL114">
        <f t="shared" si="124"/>
        <v>0</v>
      </c>
      <c r="GM114">
        <f>ROUND(O114+X114+Y114,2)+GX114</f>
        <v>21145.13</v>
      </c>
      <c r="GN114">
        <f>IF(OR(BI114=0,BI114=1),ROUND(O114+X114+Y114,2),0)</f>
        <v>0</v>
      </c>
      <c r="GO114">
        <f>IF(BI114=2,ROUND(O114+X114+Y114,2),0)</f>
        <v>0</v>
      </c>
      <c r="GP114">
        <f>IF(BI114=4,ROUND(O114+X114+Y114,2)+GX114,0)</f>
        <v>21145.13</v>
      </c>
      <c r="GR114">
        <v>0</v>
      </c>
      <c r="GS114">
        <v>3</v>
      </c>
      <c r="GT114">
        <v>0</v>
      </c>
      <c r="GU114" t="s">
        <v>3</v>
      </c>
      <c r="GV114">
        <f t="shared" si="125"/>
        <v>0</v>
      </c>
      <c r="GW114">
        <v>1</v>
      </c>
      <c r="GX114">
        <f t="shared" si="126"/>
        <v>0</v>
      </c>
      <c r="HA114">
        <v>0</v>
      </c>
      <c r="HB114">
        <v>0</v>
      </c>
      <c r="IK114">
        <v>0</v>
      </c>
    </row>
    <row r="115" spans="1:245" x14ac:dyDescent="0.2">
      <c r="A115">
        <v>17</v>
      </c>
      <c r="B115">
        <v>1</v>
      </c>
      <c r="C115">
        <f>ROW(SmtRes!A79)</f>
        <v>79</v>
      </c>
      <c r="D115">
        <f>ROW(EtalonRes!A79)</f>
        <v>79</v>
      </c>
      <c r="E115" t="s">
        <v>132</v>
      </c>
      <c r="F115" t="s">
        <v>42</v>
      </c>
      <c r="G115" t="s">
        <v>43</v>
      </c>
      <c r="H115" t="s">
        <v>17</v>
      </c>
      <c r="I115">
        <f>ROUND(85*0.1/100,9)</f>
        <v>8.5000000000000006E-2</v>
      </c>
      <c r="J115">
        <v>0</v>
      </c>
      <c r="O115">
        <f t="shared" si="98"/>
        <v>6068.18</v>
      </c>
      <c r="P115">
        <f t="shared" si="99"/>
        <v>5241.03</v>
      </c>
      <c r="Q115">
        <f t="shared" si="100"/>
        <v>609.75</v>
      </c>
      <c r="R115">
        <f t="shared" si="101"/>
        <v>226.92</v>
      </c>
      <c r="S115">
        <f t="shared" si="102"/>
        <v>217.4</v>
      </c>
      <c r="T115">
        <f t="shared" si="103"/>
        <v>0</v>
      </c>
      <c r="U115">
        <f t="shared" si="104"/>
        <v>1.4076</v>
      </c>
      <c r="V115">
        <f t="shared" si="105"/>
        <v>0</v>
      </c>
      <c r="W115">
        <f t="shared" si="106"/>
        <v>0</v>
      </c>
      <c r="X115">
        <f t="shared" si="107"/>
        <v>152.18</v>
      </c>
      <c r="Y115">
        <f t="shared" si="107"/>
        <v>21.74</v>
      </c>
      <c r="AA115">
        <v>37598633</v>
      </c>
      <c r="AB115">
        <f t="shared" si="108"/>
        <v>71390.39</v>
      </c>
      <c r="AC115">
        <f t="shared" si="109"/>
        <v>61659.15</v>
      </c>
      <c r="AD115">
        <f>ROUND((((ET115)-(EU115))+AE115),6)</f>
        <v>7173.55</v>
      </c>
      <c r="AE115">
        <f t="shared" ref="AE115:AF117" si="127">ROUND((EU115),6)</f>
        <v>2669.64</v>
      </c>
      <c r="AF115">
        <f t="shared" si="127"/>
        <v>2557.69</v>
      </c>
      <c r="AG115">
        <f t="shared" si="111"/>
        <v>0</v>
      </c>
      <c r="AH115">
        <f t="shared" ref="AH115:AI117" si="128">(EW115)</f>
        <v>16.559999999999999</v>
      </c>
      <c r="AI115">
        <f t="shared" si="128"/>
        <v>0</v>
      </c>
      <c r="AJ115">
        <f t="shared" si="113"/>
        <v>0</v>
      </c>
      <c r="AK115">
        <v>71390.39</v>
      </c>
      <c r="AL115">
        <v>61659.15</v>
      </c>
      <c r="AM115">
        <v>7173.55</v>
      </c>
      <c r="AN115">
        <v>2669.64</v>
      </c>
      <c r="AO115">
        <v>2557.69</v>
      </c>
      <c r="AP115">
        <v>0</v>
      </c>
      <c r="AQ115">
        <v>16.559999999999999</v>
      </c>
      <c r="AR115">
        <v>0</v>
      </c>
      <c r="AS115">
        <v>0</v>
      </c>
      <c r="AT115">
        <v>70</v>
      </c>
      <c r="AU115">
        <v>10</v>
      </c>
      <c r="AV115">
        <v>1</v>
      </c>
      <c r="AW115">
        <v>1</v>
      </c>
      <c r="AZ115">
        <v>1</v>
      </c>
      <c r="BA115">
        <v>1</v>
      </c>
      <c r="BB115">
        <v>1</v>
      </c>
      <c r="BC115">
        <v>1</v>
      </c>
      <c r="BD115" t="s">
        <v>3</v>
      </c>
      <c r="BE115" t="s">
        <v>3</v>
      </c>
      <c r="BF115" t="s">
        <v>3</v>
      </c>
      <c r="BG115" t="s">
        <v>3</v>
      </c>
      <c r="BH115">
        <v>0</v>
      </c>
      <c r="BI115">
        <v>4</v>
      </c>
      <c r="BJ115" t="s">
        <v>44</v>
      </c>
      <c r="BM115">
        <v>0</v>
      </c>
      <c r="BN115">
        <v>0</v>
      </c>
      <c r="BO115" t="s">
        <v>3</v>
      </c>
      <c r="BP115">
        <v>0</v>
      </c>
      <c r="BQ115">
        <v>1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Y115" t="s">
        <v>3</v>
      </c>
      <c r="BZ115">
        <v>70</v>
      </c>
      <c r="CA115">
        <v>10</v>
      </c>
      <c r="CF115">
        <v>0</v>
      </c>
      <c r="CG115">
        <v>0</v>
      </c>
      <c r="CM115">
        <v>0</v>
      </c>
      <c r="CN115" t="s">
        <v>3</v>
      </c>
      <c r="CO115">
        <v>0</v>
      </c>
      <c r="CP115">
        <f t="shared" si="114"/>
        <v>6068.1799999999994</v>
      </c>
      <c r="CQ115">
        <f t="shared" si="115"/>
        <v>61659.15</v>
      </c>
      <c r="CR115">
        <f>((((ET115)*BB115-(EU115)*BS115)+AE115*BS115)*AV115)</f>
        <v>7173.5499999999993</v>
      </c>
      <c r="CS115">
        <f t="shared" si="116"/>
        <v>2669.64</v>
      </c>
      <c r="CT115">
        <f t="shared" si="117"/>
        <v>2557.69</v>
      </c>
      <c r="CU115">
        <f t="shared" si="118"/>
        <v>0</v>
      </c>
      <c r="CV115">
        <f t="shared" si="119"/>
        <v>16.559999999999999</v>
      </c>
      <c r="CW115">
        <f t="shared" si="120"/>
        <v>0</v>
      </c>
      <c r="CX115">
        <f t="shared" si="120"/>
        <v>0</v>
      </c>
      <c r="CY115">
        <f t="shared" si="121"/>
        <v>152.18</v>
      </c>
      <c r="CZ115">
        <f t="shared" si="122"/>
        <v>21.74</v>
      </c>
      <c r="DC115" t="s">
        <v>3</v>
      </c>
      <c r="DD115" t="s">
        <v>3</v>
      </c>
      <c r="DE115" t="s">
        <v>3</v>
      </c>
      <c r="DF115" t="s">
        <v>3</v>
      </c>
      <c r="DG115" t="s">
        <v>3</v>
      </c>
      <c r="DH115" t="s">
        <v>3</v>
      </c>
      <c r="DI115" t="s">
        <v>3</v>
      </c>
      <c r="DJ115" t="s">
        <v>3</v>
      </c>
      <c r="DK115" t="s">
        <v>3</v>
      </c>
      <c r="DL115" t="s">
        <v>3</v>
      </c>
      <c r="DM115" t="s">
        <v>3</v>
      </c>
      <c r="DN115">
        <v>0</v>
      </c>
      <c r="DO115">
        <v>0</v>
      </c>
      <c r="DP115">
        <v>1</v>
      </c>
      <c r="DQ115">
        <v>1</v>
      </c>
      <c r="DU115">
        <v>1007</v>
      </c>
      <c r="DV115" t="s">
        <v>17</v>
      </c>
      <c r="DW115" t="s">
        <v>17</v>
      </c>
      <c r="DX115">
        <v>100</v>
      </c>
      <c r="EE115">
        <v>34176748</v>
      </c>
      <c r="EF115">
        <v>1</v>
      </c>
      <c r="EG115" t="s">
        <v>19</v>
      </c>
      <c r="EH115">
        <v>0</v>
      </c>
      <c r="EI115" t="s">
        <v>3</v>
      </c>
      <c r="EJ115">
        <v>4</v>
      </c>
      <c r="EK115">
        <v>0</v>
      </c>
      <c r="EL115" t="s">
        <v>20</v>
      </c>
      <c r="EM115" t="s">
        <v>21</v>
      </c>
      <c r="EO115" t="s">
        <v>3</v>
      </c>
      <c r="EQ115">
        <v>0</v>
      </c>
      <c r="ER115">
        <v>71390.39</v>
      </c>
      <c r="ES115">
        <v>61659.15</v>
      </c>
      <c r="ET115">
        <v>7173.55</v>
      </c>
      <c r="EU115">
        <v>2669.64</v>
      </c>
      <c r="EV115">
        <v>2557.69</v>
      </c>
      <c r="EW115">
        <v>16.559999999999999</v>
      </c>
      <c r="EX115">
        <v>0</v>
      </c>
      <c r="EY115">
        <v>0</v>
      </c>
      <c r="FQ115">
        <v>0</v>
      </c>
      <c r="FR115">
        <f t="shared" si="123"/>
        <v>0</v>
      </c>
      <c r="FS115">
        <v>0</v>
      </c>
      <c r="FX115">
        <v>70</v>
      </c>
      <c r="FY115">
        <v>10</v>
      </c>
      <c r="GA115" t="s">
        <v>3</v>
      </c>
      <c r="GD115">
        <v>0</v>
      </c>
      <c r="GF115">
        <v>-1632936602</v>
      </c>
      <c r="GG115">
        <v>2</v>
      </c>
      <c r="GH115">
        <v>1</v>
      </c>
      <c r="GI115">
        <v>-2</v>
      </c>
      <c r="GJ115">
        <v>0</v>
      </c>
      <c r="GK115">
        <f>ROUND(R115*(R12)/100,2)</f>
        <v>245.07</v>
      </c>
      <c r="GL115">
        <f t="shared" si="124"/>
        <v>0</v>
      </c>
      <c r="GM115">
        <f>ROUND(O115+X115+Y115+GK115,2)+GX115</f>
        <v>6487.17</v>
      </c>
      <c r="GN115">
        <f>IF(OR(BI115=0,BI115=1),ROUND(O115+X115+Y115+GK115,2),0)</f>
        <v>0</v>
      </c>
      <c r="GO115">
        <f>IF(BI115=2,ROUND(O115+X115+Y115+GK115,2),0)</f>
        <v>0</v>
      </c>
      <c r="GP115">
        <f>IF(BI115=4,ROUND(O115+X115+Y115+GK115,2)+GX115,0)</f>
        <v>6487.17</v>
      </c>
      <c r="GR115">
        <v>0</v>
      </c>
      <c r="GS115">
        <v>3</v>
      </c>
      <c r="GT115">
        <v>0</v>
      </c>
      <c r="GU115" t="s">
        <v>3</v>
      </c>
      <c r="GV115">
        <f t="shared" si="125"/>
        <v>0</v>
      </c>
      <c r="GW115">
        <v>1</v>
      </c>
      <c r="GX115">
        <f t="shared" si="126"/>
        <v>0</v>
      </c>
      <c r="HA115">
        <v>0</v>
      </c>
      <c r="HB115">
        <v>0</v>
      </c>
      <c r="IK115">
        <v>0</v>
      </c>
    </row>
    <row r="116" spans="1:245" x14ac:dyDescent="0.2">
      <c r="A116">
        <v>17</v>
      </c>
      <c r="B116">
        <v>1</v>
      </c>
      <c r="C116">
        <f>ROW(SmtRes!A88)</f>
        <v>88</v>
      </c>
      <c r="D116">
        <f>ROW(EtalonRes!A88)</f>
        <v>88</v>
      </c>
      <c r="E116" t="s">
        <v>133</v>
      </c>
      <c r="F116" t="s">
        <v>46</v>
      </c>
      <c r="G116" t="s">
        <v>47</v>
      </c>
      <c r="H116" t="s">
        <v>17</v>
      </c>
      <c r="I116">
        <f>ROUND(I115,9)</f>
        <v>8.5000000000000006E-2</v>
      </c>
      <c r="J116">
        <v>0</v>
      </c>
      <c r="O116">
        <f t="shared" si="98"/>
        <v>24490.55</v>
      </c>
      <c r="P116">
        <f t="shared" si="99"/>
        <v>20483.71</v>
      </c>
      <c r="Q116">
        <f t="shared" si="100"/>
        <v>3680.73</v>
      </c>
      <c r="R116">
        <f t="shared" si="101"/>
        <v>1351.02</v>
      </c>
      <c r="S116">
        <f t="shared" si="102"/>
        <v>326.11</v>
      </c>
      <c r="T116">
        <f t="shared" si="103"/>
        <v>0</v>
      </c>
      <c r="U116">
        <f t="shared" si="104"/>
        <v>2.1114000000000002</v>
      </c>
      <c r="V116">
        <f t="shared" si="105"/>
        <v>0</v>
      </c>
      <c r="W116">
        <f t="shared" si="106"/>
        <v>0</v>
      </c>
      <c r="X116">
        <f t="shared" si="107"/>
        <v>228.28</v>
      </c>
      <c r="Y116">
        <f t="shared" si="107"/>
        <v>32.61</v>
      </c>
      <c r="AA116">
        <v>37598633</v>
      </c>
      <c r="AB116">
        <f t="shared" si="108"/>
        <v>288124.17</v>
      </c>
      <c r="AC116">
        <f t="shared" si="109"/>
        <v>240984.87</v>
      </c>
      <c r="AD116">
        <f>ROUND((((ET116)-(EU116))+AE116),6)</f>
        <v>43302.76</v>
      </c>
      <c r="AE116">
        <f t="shared" si="127"/>
        <v>15894.37</v>
      </c>
      <c r="AF116">
        <f t="shared" si="127"/>
        <v>3836.54</v>
      </c>
      <c r="AG116">
        <f t="shared" si="111"/>
        <v>0</v>
      </c>
      <c r="AH116">
        <f t="shared" si="128"/>
        <v>24.84</v>
      </c>
      <c r="AI116">
        <f t="shared" si="128"/>
        <v>0</v>
      </c>
      <c r="AJ116">
        <f t="shared" si="113"/>
        <v>0</v>
      </c>
      <c r="AK116">
        <v>288124.17</v>
      </c>
      <c r="AL116">
        <v>240984.87</v>
      </c>
      <c r="AM116">
        <v>43302.76</v>
      </c>
      <c r="AN116">
        <v>15894.37</v>
      </c>
      <c r="AO116">
        <v>3836.54</v>
      </c>
      <c r="AP116">
        <v>0</v>
      </c>
      <c r="AQ116">
        <v>24.84</v>
      </c>
      <c r="AR116">
        <v>0</v>
      </c>
      <c r="AS116">
        <v>0</v>
      </c>
      <c r="AT116">
        <v>70</v>
      </c>
      <c r="AU116">
        <v>10</v>
      </c>
      <c r="AV116">
        <v>1</v>
      </c>
      <c r="AW116">
        <v>1</v>
      </c>
      <c r="AZ116">
        <v>1</v>
      </c>
      <c r="BA116">
        <v>1</v>
      </c>
      <c r="BB116">
        <v>1</v>
      </c>
      <c r="BC116">
        <v>1</v>
      </c>
      <c r="BD116" t="s">
        <v>3</v>
      </c>
      <c r="BE116" t="s">
        <v>3</v>
      </c>
      <c r="BF116" t="s">
        <v>3</v>
      </c>
      <c r="BG116" t="s">
        <v>3</v>
      </c>
      <c r="BH116">
        <v>0</v>
      </c>
      <c r="BI116">
        <v>4</v>
      </c>
      <c r="BJ116" t="s">
        <v>48</v>
      </c>
      <c r="BM116">
        <v>0</v>
      </c>
      <c r="BN116">
        <v>0</v>
      </c>
      <c r="BO116" t="s">
        <v>3</v>
      </c>
      <c r="BP116">
        <v>0</v>
      </c>
      <c r="BQ116">
        <v>1</v>
      </c>
      <c r="BR116">
        <v>0</v>
      </c>
      <c r="BS116">
        <v>1</v>
      </c>
      <c r="BT116">
        <v>1</v>
      </c>
      <c r="BU116">
        <v>1</v>
      </c>
      <c r="BV116">
        <v>1</v>
      </c>
      <c r="BW116">
        <v>1</v>
      </c>
      <c r="BX116">
        <v>1</v>
      </c>
      <c r="BY116" t="s">
        <v>3</v>
      </c>
      <c r="BZ116">
        <v>70</v>
      </c>
      <c r="CA116">
        <v>10</v>
      </c>
      <c r="CF116">
        <v>0</v>
      </c>
      <c r="CG116">
        <v>0</v>
      </c>
      <c r="CM116">
        <v>0</v>
      </c>
      <c r="CN116" t="s">
        <v>3</v>
      </c>
      <c r="CO116">
        <v>0</v>
      </c>
      <c r="CP116">
        <f t="shared" si="114"/>
        <v>24490.55</v>
      </c>
      <c r="CQ116">
        <f t="shared" si="115"/>
        <v>240984.87</v>
      </c>
      <c r="CR116">
        <f>((((ET116)*BB116-(EU116)*BS116)+AE116*BS116)*AV116)</f>
        <v>43302.76</v>
      </c>
      <c r="CS116">
        <f t="shared" si="116"/>
        <v>15894.37</v>
      </c>
      <c r="CT116">
        <f t="shared" si="117"/>
        <v>3836.54</v>
      </c>
      <c r="CU116">
        <f t="shared" si="118"/>
        <v>0</v>
      </c>
      <c r="CV116">
        <f t="shared" si="119"/>
        <v>24.84</v>
      </c>
      <c r="CW116">
        <f t="shared" si="120"/>
        <v>0</v>
      </c>
      <c r="CX116">
        <f t="shared" si="120"/>
        <v>0</v>
      </c>
      <c r="CY116">
        <f t="shared" si="121"/>
        <v>228.27700000000002</v>
      </c>
      <c r="CZ116">
        <f t="shared" si="122"/>
        <v>32.611000000000004</v>
      </c>
      <c r="DC116" t="s">
        <v>3</v>
      </c>
      <c r="DD116" t="s">
        <v>3</v>
      </c>
      <c r="DE116" t="s">
        <v>3</v>
      </c>
      <c r="DF116" t="s">
        <v>3</v>
      </c>
      <c r="DG116" t="s">
        <v>3</v>
      </c>
      <c r="DH116" t="s">
        <v>3</v>
      </c>
      <c r="DI116" t="s">
        <v>3</v>
      </c>
      <c r="DJ116" t="s">
        <v>3</v>
      </c>
      <c r="DK116" t="s">
        <v>3</v>
      </c>
      <c r="DL116" t="s">
        <v>3</v>
      </c>
      <c r="DM116" t="s">
        <v>3</v>
      </c>
      <c r="DN116">
        <v>0</v>
      </c>
      <c r="DO116">
        <v>0</v>
      </c>
      <c r="DP116">
        <v>1</v>
      </c>
      <c r="DQ116">
        <v>1</v>
      </c>
      <c r="DU116">
        <v>1007</v>
      </c>
      <c r="DV116" t="s">
        <v>17</v>
      </c>
      <c r="DW116" t="s">
        <v>17</v>
      </c>
      <c r="DX116">
        <v>100</v>
      </c>
      <c r="EE116">
        <v>34176748</v>
      </c>
      <c r="EF116">
        <v>1</v>
      </c>
      <c r="EG116" t="s">
        <v>19</v>
      </c>
      <c r="EH116">
        <v>0</v>
      </c>
      <c r="EI116" t="s">
        <v>3</v>
      </c>
      <c r="EJ116">
        <v>4</v>
      </c>
      <c r="EK116">
        <v>0</v>
      </c>
      <c r="EL116" t="s">
        <v>20</v>
      </c>
      <c r="EM116" t="s">
        <v>21</v>
      </c>
      <c r="EO116" t="s">
        <v>3</v>
      </c>
      <c r="EQ116">
        <v>0</v>
      </c>
      <c r="ER116">
        <v>288124.17</v>
      </c>
      <c r="ES116">
        <v>240984.87</v>
      </c>
      <c r="ET116">
        <v>43302.76</v>
      </c>
      <c r="EU116">
        <v>15894.37</v>
      </c>
      <c r="EV116">
        <v>3836.54</v>
      </c>
      <c r="EW116">
        <v>24.84</v>
      </c>
      <c r="EX116">
        <v>0</v>
      </c>
      <c r="EY116">
        <v>0</v>
      </c>
      <c r="FQ116">
        <v>0</v>
      </c>
      <c r="FR116">
        <f t="shared" si="123"/>
        <v>0</v>
      </c>
      <c r="FS116">
        <v>0</v>
      </c>
      <c r="FX116">
        <v>70</v>
      </c>
      <c r="FY116">
        <v>10</v>
      </c>
      <c r="GA116" t="s">
        <v>3</v>
      </c>
      <c r="GD116">
        <v>0</v>
      </c>
      <c r="GF116">
        <v>-2078164180</v>
      </c>
      <c r="GG116">
        <v>2</v>
      </c>
      <c r="GH116">
        <v>1</v>
      </c>
      <c r="GI116">
        <v>-2</v>
      </c>
      <c r="GJ116">
        <v>0</v>
      </c>
      <c r="GK116">
        <f>ROUND(R116*(R12)/100,2)</f>
        <v>1459.1</v>
      </c>
      <c r="GL116">
        <f t="shared" si="124"/>
        <v>0</v>
      </c>
      <c r="GM116">
        <f>ROUND(O116+X116+Y116+GK116,2)+GX116</f>
        <v>26210.54</v>
      </c>
      <c r="GN116">
        <f>IF(OR(BI116=0,BI116=1),ROUND(O116+X116+Y116+GK116,2),0)</f>
        <v>0</v>
      </c>
      <c r="GO116">
        <f>IF(BI116=2,ROUND(O116+X116+Y116+GK116,2),0)</f>
        <v>0</v>
      </c>
      <c r="GP116">
        <f>IF(BI116=4,ROUND(O116+X116+Y116+GK116,2)+GX116,0)</f>
        <v>26210.54</v>
      </c>
      <c r="GR116">
        <v>0</v>
      </c>
      <c r="GS116">
        <v>3</v>
      </c>
      <c r="GT116">
        <v>0</v>
      </c>
      <c r="GU116" t="s">
        <v>3</v>
      </c>
      <c r="GV116">
        <f t="shared" si="125"/>
        <v>0</v>
      </c>
      <c r="GW116">
        <v>1</v>
      </c>
      <c r="GX116">
        <f t="shared" si="126"/>
        <v>0</v>
      </c>
      <c r="HA116">
        <v>0</v>
      </c>
      <c r="HB116">
        <v>0</v>
      </c>
      <c r="IK116">
        <v>0</v>
      </c>
    </row>
    <row r="117" spans="1:245" x14ac:dyDescent="0.2">
      <c r="A117">
        <v>17</v>
      </c>
      <c r="B117">
        <v>1</v>
      </c>
      <c r="C117">
        <f>ROW(SmtRes!A92)</f>
        <v>92</v>
      </c>
      <c r="D117">
        <f>ROW(EtalonRes!A92)</f>
        <v>92</v>
      </c>
      <c r="E117" t="s">
        <v>134</v>
      </c>
      <c r="F117" t="s">
        <v>50</v>
      </c>
      <c r="G117" t="s">
        <v>125</v>
      </c>
      <c r="H117" t="s">
        <v>52</v>
      </c>
      <c r="I117">
        <f>ROUND(85/100,9)</f>
        <v>0.85</v>
      </c>
      <c r="J117">
        <v>0</v>
      </c>
      <c r="O117">
        <f t="shared" si="98"/>
        <v>26801.68</v>
      </c>
      <c r="P117">
        <f t="shared" si="99"/>
        <v>23558.21</v>
      </c>
      <c r="Q117">
        <f t="shared" si="100"/>
        <v>1050.18</v>
      </c>
      <c r="R117">
        <f t="shared" si="101"/>
        <v>608.37</v>
      </c>
      <c r="S117">
        <f t="shared" si="102"/>
        <v>2193.29</v>
      </c>
      <c r="T117">
        <f t="shared" si="103"/>
        <v>0</v>
      </c>
      <c r="U117">
        <f t="shared" si="104"/>
        <v>11.5345</v>
      </c>
      <c r="V117">
        <f t="shared" si="105"/>
        <v>0</v>
      </c>
      <c r="W117">
        <f t="shared" si="106"/>
        <v>0</v>
      </c>
      <c r="X117">
        <f t="shared" si="107"/>
        <v>1535.3</v>
      </c>
      <c r="Y117">
        <f t="shared" si="107"/>
        <v>219.33</v>
      </c>
      <c r="AA117">
        <v>37598633</v>
      </c>
      <c r="AB117">
        <f t="shared" si="108"/>
        <v>31531.377499999999</v>
      </c>
      <c r="AC117">
        <f>ROUND((((ES117/4)*5)),6)</f>
        <v>27715.537499999999</v>
      </c>
      <c r="AD117">
        <f>ROUND((((ET117)-(EU117))+AE117),6)</f>
        <v>1235.5</v>
      </c>
      <c r="AE117">
        <f t="shared" si="127"/>
        <v>715.73</v>
      </c>
      <c r="AF117">
        <f t="shared" si="127"/>
        <v>2580.34</v>
      </c>
      <c r="AG117">
        <f t="shared" si="111"/>
        <v>0</v>
      </c>
      <c r="AH117">
        <f t="shared" si="128"/>
        <v>13.57</v>
      </c>
      <c r="AI117">
        <f t="shared" si="128"/>
        <v>0</v>
      </c>
      <c r="AJ117">
        <f t="shared" si="113"/>
        <v>0</v>
      </c>
      <c r="AK117">
        <v>25988.27</v>
      </c>
      <c r="AL117">
        <v>22172.43</v>
      </c>
      <c r="AM117">
        <v>1235.5</v>
      </c>
      <c r="AN117">
        <v>715.73</v>
      </c>
      <c r="AO117">
        <v>2580.34</v>
      </c>
      <c r="AP117">
        <v>0</v>
      </c>
      <c r="AQ117">
        <v>13.57</v>
      </c>
      <c r="AR117">
        <v>0</v>
      </c>
      <c r="AS117">
        <v>0</v>
      </c>
      <c r="AT117">
        <v>70</v>
      </c>
      <c r="AU117">
        <v>10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v>1</v>
      </c>
      <c r="BD117" t="s">
        <v>3</v>
      </c>
      <c r="BE117" t="s">
        <v>3</v>
      </c>
      <c r="BF117" t="s">
        <v>3</v>
      </c>
      <c r="BG117" t="s">
        <v>3</v>
      </c>
      <c r="BH117">
        <v>0</v>
      </c>
      <c r="BI117">
        <v>4</v>
      </c>
      <c r="BJ117" t="s">
        <v>53</v>
      </c>
      <c r="BM117">
        <v>0</v>
      </c>
      <c r="BN117">
        <v>0</v>
      </c>
      <c r="BO117" t="s">
        <v>3</v>
      </c>
      <c r="BP117">
        <v>0</v>
      </c>
      <c r="BQ117">
        <v>1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 t="s">
        <v>3</v>
      </c>
      <c r="BZ117">
        <v>70</v>
      </c>
      <c r="CA117">
        <v>10</v>
      </c>
      <c r="CF117">
        <v>0</v>
      </c>
      <c r="CG117">
        <v>0</v>
      </c>
      <c r="CM117">
        <v>0</v>
      </c>
      <c r="CN117" t="s">
        <v>3</v>
      </c>
      <c r="CO117">
        <v>0</v>
      </c>
      <c r="CP117">
        <f t="shared" si="114"/>
        <v>26801.68</v>
      </c>
      <c r="CQ117">
        <f t="shared" si="115"/>
        <v>27715.537499999999</v>
      </c>
      <c r="CR117">
        <f>((((ET117)*BB117-(EU117)*BS117)+AE117*BS117)*AV117)</f>
        <v>1235.5</v>
      </c>
      <c r="CS117">
        <f t="shared" si="116"/>
        <v>715.73</v>
      </c>
      <c r="CT117">
        <f t="shared" si="117"/>
        <v>2580.34</v>
      </c>
      <c r="CU117">
        <f t="shared" si="118"/>
        <v>0</v>
      </c>
      <c r="CV117">
        <f t="shared" si="119"/>
        <v>13.57</v>
      </c>
      <c r="CW117">
        <f t="shared" si="120"/>
        <v>0</v>
      </c>
      <c r="CX117">
        <f t="shared" si="120"/>
        <v>0</v>
      </c>
      <c r="CY117">
        <f t="shared" si="121"/>
        <v>1535.3029999999999</v>
      </c>
      <c r="CZ117">
        <f t="shared" si="122"/>
        <v>219.32900000000001</v>
      </c>
      <c r="DC117" t="s">
        <v>3</v>
      </c>
      <c r="DD117" t="s">
        <v>54</v>
      </c>
      <c r="DE117" t="s">
        <v>3</v>
      </c>
      <c r="DF117" t="s">
        <v>3</v>
      </c>
      <c r="DG117" t="s">
        <v>3</v>
      </c>
      <c r="DH117" t="s">
        <v>3</v>
      </c>
      <c r="DI117" t="s">
        <v>3</v>
      </c>
      <c r="DJ117" t="s">
        <v>3</v>
      </c>
      <c r="DK117" t="s">
        <v>3</v>
      </c>
      <c r="DL117" t="s">
        <v>3</v>
      </c>
      <c r="DM117" t="s">
        <v>3</v>
      </c>
      <c r="DN117">
        <v>0</v>
      </c>
      <c r="DO117">
        <v>0</v>
      </c>
      <c r="DP117">
        <v>1</v>
      </c>
      <c r="DQ117">
        <v>1</v>
      </c>
      <c r="DU117">
        <v>1005</v>
      </c>
      <c r="DV117" t="s">
        <v>52</v>
      </c>
      <c r="DW117" t="s">
        <v>52</v>
      </c>
      <c r="DX117">
        <v>100</v>
      </c>
      <c r="EE117">
        <v>34176748</v>
      </c>
      <c r="EF117">
        <v>1</v>
      </c>
      <c r="EG117" t="s">
        <v>19</v>
      </c>
      <c r="EH117">
        <v>0</v>
      </c>
      <c r="EI117" t="s">
        <v>3</v>
      </c>
      <c r="EJ117">
        <v>4</v>
      </c>
      <c r="EK117">
        <v>0</v>
      </c>
      <c r="EL117" t="s">
        <v>20</v>
      </c>
      <c r="EM117" t="s">
        <v>21</v>
      </c>
      <c r="EO117" t="s">
        <v>3</v>
      </c>
      <c r="EQ117">
        <v>0</v>
      </c>
      <c r="ER117">
        <v>25988.27</v>
      </c>
      <c r="ES117">
        <v>22172.43</v>
      </c>
      <c r="ET117">
        <v>1235.5</v>
      </c>
      <c r="EU117">
        <v>715.73</v>
      </c>
      <c r="EV117">
        <v>2580.34</v>
      </c>
      <c r="EW117">
        <v>13.57</v>
      </c>
      <c r="EX117">
        <v>0</v>
      </c>
      <c r="EY117">
        <v>0</v>
      </c>
      <c r="FQ117">
        <v>0</v>
      </c>
      <c r="FR117">
        <f t="shared" si="123"/>
        <v>0</v>
      </c>
      <c r="FS117">
        <v>0</v>
      </c>
      <c r="FX117">
        <v>70</v>
      </c>
      <c r="FY117">
        <v>10</v>
      </c>
      <c r="GA117" t="s">
        <v>3</v>
      </c>
      <c r="GD117">
        <v>0</v>
      </c>
      <c r="GF117">
        <v>1972566933</v>
      </c>
      <c r="GG117">
        <v>2</v>
      </c>
      <c r="GH117">
        <v>1</v>
      </c>
      <c r="GI117">
        <v>-2</v>
      </c>
      <c r="GJ117">
        <v>0</v>
      </c>
      <c r="GK117">
        <f>ROUND(R117*(R12)/100,2)</f>
        <v>657.04</v>
      </c>
      <c r="GL117">
        <f t="shared" si="124"/>
        <v>0</v>
      </c>
      <c r="GM117">
        <f>ROUND(O117+X117+Y117+GK117,2)+GX117</f>
        <v>29213.35</v>
      </c>
      <c r="GN117">
        <f>IF(OR(BI117=0,BI117=1),ROUND(O117+X117+Y117+GK117,2),0)</f>
        <v>0</v>
      </c>
      <c r="GO117">
        <f>IF(BI117=2,ROUND(O117+X117+Y117+GK117,2),0)</f>
        <v>0</v>
      </c>
      <c r="GP117">
        <f>IF(BI117=4,ROUND(O117+X117+Y117+GK117,2)+GX117,0)</f>
        <v>29213.35</v>
      </c>
      <c r="GR117">
        <v>0</v>
      </c>
      <c r="GS117">
        <v>3</v>
      </c>
      <c r="GT117">
        <v>0</v>
      </c>
      <c r="GU117" t="s">
        <v>3</v>
      </c>
      <c r="GV117">
        <f t="shared" si="125"/>
        <v>0</v>
      </c>
      <c r="GW117">
        <v>1</v>
      </c>
      <c r="GX117">
        <f t="shared" si="126"/>
        <v>0</v>
      </c>
      <c r="HA117">
        <v>0</v>
      </c>
      <c r="HB117">
        <v>0</v>
      </c>
      <c r="IK117">
        <v>0</v>
      </c>
    </row>
    <row r="119" spans="1:245" x14ac:dyDescent="0.2">
      <c r="A119" s="2">
        <v>51</v>
      </c>
      <c r="B119" s="2">
        <f>B106</f>
        <v>1</v>
      </c>
      <c r="C119" s="2">
        <f>A106</f>
        <v>4</v>
      </c>
      <c r="D119" s="2">
        <f>ROW(A106)</f>
        <v>106</v>
      </c>
      <c r="E119" s="2"/>
      <c r="F119" s="2" t="str">
        <f>IF(F106&lt;&gt;"",F106,"")</f>
        <v>Новый раздел</v>
      </c>
      <c r="G119" s="2" t="str">
        <f>IF(G106&lt;&gt;"",G106,"")</f>
        <v>Ремонт отмостки - 85м2</v>
      </c>
      <c r="H119" s="2">
        <v>0</v>
      </c>
      <c r="I119" s="2"/>
      <c r="J119" s="2"/>
      <c r="K119" s="2"/>
      <c r="L119" s="2"/>
      <c r="M119" s="2"/>
      <c r="N119" s="2"/>
      <c r="O119" s="2">
        <f t="shared" ref="O119:T119" si="129">ROUND(AB119,2)</f>
        <v>85252.66</v>
      </c>
      <c r="P119" s="2">
        <f t="shared" si="129"/>
        <v>49282.95</v>
      </c>
      <c r="Q119" s="2">
        <f t="shared" si="129"/>
        <v>31903.34</v>
      </c>
      <c r="R119" s="2">
        <f t="shared" si="129"/>
        <v>21010.46</v>
      </c>
      <c r="S119" s="2">
        <f t="shared" si="129"/>
        <v>4066.37</v>
      </c>
      <c r="T119" s="2">
        <f t="shared" si="129"/>
        <v>0</v>
      </c>
      <c r="U119" s="2">
        <f>AH119</f>
        <v>24.12725</v>
      </c>
      <c r="V119" s="2">
        <f>AI119</f>
        <v>0</v>
      </c>
      <c r="W119" s="2">
        <f>ROUND(AJ119,2)</f>
        <v>0</v>
      </c>
      <c r="X119" s="2">
        <f>ROUND(AK119,2)</f>
        <v>2846.46</v>
      </c>
      <c r="Y119" s="2">
        <f>ROUND(AL119,2)</f>
        <v>406.64</v>
      </c>
      <c r="Z119" s="2"/>
      <c r="AA119" s="2"/>
      <c r="AB119" s="2">
        <f>ROUND(SUMIF(AA110:AA117,"=37598633",O110:O117),2)</f>
        <v>85252.66</v>
      </c>
      <c r="AC119" s="2">
        <f>ROUND(SUMIF(AA110:AA117,"=37598633",P110:P117),2)</f>
        <v>49282.95</v>
      </c>
      <c r="AD119" s="2">
        <f>ROUND(SUMIF(AA110:AA117,"=37598633",Q110:Q117),2)</f>
        <v>31903.34</v>
      </c>
      <c r="AE119" s="2">
        <f>ROUND(SUMIF(AA110:AA117,"=37598633",R110:R117),2)</f>
        <v>21010.46</v>
      </c>
      <c r="AF119" s="2">
        <f>ROUND(SUMIF(AA110:AA117,"=37598633",S110:S117),2)</f>
        <v>4066.37</v>
      </c>
      <c r="AG119" s="2">
        <f>ROUND(SUMIF(AA110:AA117,"=37598633",T110:T117),2)</f>
        <v>0</v>
      </c>
      <c r="AH119" s="2">
        <f>SUMIF(AA110:AA117,"=37598633",U110:U117)</f>
        <v>24.12725</v>
      </c>
      <c r="AI119" s="2">
        <f>SUMIF(AA110:AA117,"=37598633",V110:V117)</f>
        <v>0</v>
      </c>
      <c r="AJ119" s="2">
        <f>ROUND(SUMIF(AA110:AA117,"=37598633",W110:W117),2)</f>
        <v>0</v>
      </c>
      <c r="AK119" s="2">
        <f>ROUND(SUMIF(AA110:AA117,"=37598633",X110:X117),2)</f>
        <v>2846.46</v>
      </c>
      <c r="AL119" s="2">
        <f>ROUND(SUMIF(AA110:AA117,"=37598633",Y110:Y117),2)</f>
        <v>406.64</v>
      </c>
      <c r="AM119" s="2"/>
      <c r="AN119" s="2"/>
      <c r="AO119" s="2">
        <f t="shared" ref="AO119:BC119" si="130">ROUND(BX119,2)</f>
        <v>0</v>
      </c>
      <c r="AP119" s="2">
        <f t="shared" si="130"/>
        <v>0</v>
      </c>
      <c r="AQ119" s="2">
        <f t="shared" si="130"/>
        <v>0</v>
      </c>
      <c r="AR119" s="2">
        <f t="shared" si="130"/>
        <v>92588.4</v>
      </c>
      <c r="AS119" s="2">
        <f t="shared" si="130"/>
        <v>0</v>
      </c>
      <c r="AT119" s="2">
        <f t="shared" si="130"/>
        <v>0</v>
      </c>
      <c r="AU119" s="2">
        <f t="shared" si="130"/>
        <v>92588.4</v>
      </c>
      <c r="AV119" s="2">
        <f t="shared" si="130"/>
        <v>49282.95</v>
      </c>
      <c r="AW119" s="2">
        <f t="shared" si="130"/>
        <v>49282.95</v>
      </c>
      <c r="AX119" s="2">
        <f t="shared" si="130"/>
        <v>0</v>
      </c>
      <c r="AY119" s="2">
        <f t="shared" si="130"/>
        <v>49282.95</v>
      </c>
      <c r="AZ119" s="2">
        <f t="shared" si="130"/>
        <v>0</v>
      </c>
      <c r="BA119" s="2">
        <f t="shared" si="130"/>
        <v>0</v>
      </c>
      <c r="BB119" s="2">
        <f t="shared" si="130"/>
        <v>0</v>
      </c>
      <c r="BC119" s="2">
        <f t="shared" si="130"/>
        <v>0</v>
      </c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>
        <f>ROUND(SUMIF(AA110:AA117,"=37598633",FQ110:FQ117),2)</f>
        <v>0</v>
      </c>
      <c r="BY119" s="2">
        <f>ROUND(SUMIF(AA110:AA117,"=37598633",FR110:FR117),2)</f>
        <v>0</v>
      </c>
      <c r="BZ119" s="2">
        <f>ROUND(SUMIF(AA110:AA117,"=37598633",GL110:GL117),2)</f>
        <v>0</v>
      </c>
      <c r="CA119" s="2">
        <f>ROUND(SUMIF(AA110:AA117,"=37598633",GM110:GM117),2)</f>
        <v>92588.4</v>
      </c>
      <c r="CB119" s="2">
        <f>ROUND(SUMIF(AA110:AA117,"=37598633",GN110:GN117),2)</f>
        <v>0</v>
      </c>
      <c r="CC119" s="2">
        <f>ROUND(SUMIF(AA110:AA117,"=37598633",GO110:GO117),2)</f>
        <v>0</v>
      </c>
      <c r="CD119" s="2">
        <f>ROUND(SUMIF(AA110:AA117,"=37598633",GP110:GP117),2)</f>
        <v>92588.4</v>
      </c>
      <c r="CE119" s="2">
        <f>AC119-BX119</f>
        <v>49282.95</v>
      </c>
      <c r="CF119" s="2">
        <f>AC119-BY119</f>
        <v>49282.95</v>
      </c>
      <c r="CG119" s="2">
        <f>BX119-BZ119</f>
        <v>0</v>
      </c>
      <c r="CH119" s="2">
        <f>AC119-BX119-BY119+BZ119</f>
        <v>49282.95</v>
      </c>
      <c r="CI119" s="2">
        <f>BY119-BZ119</f>
        <v>0</v>
      </c>
      <c r="CJ119" s="2">
        <f>ROUND(SUMIF(AA110:AA117,"=37598633",GX110:GX117),2)</f>
        <v>0</v>
      </c>
      <c r="CK119" s="2">
        <f>ROUND(SUMIF(AA110:AA117,"=37598633",GY110:GY117),2)</f>
        <v>0</v>
      </c>
      <c r="CL119" s="2">
        <f>ROUND(SUMIF(AA110:AA117,"=37598633",GZ110:GZ117),2)</f>
        <v>0</v>
      </c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>
        <v>0</v>
      </c>
    </row>
    <row r="121" spans="1:245" x14ac:dyDescent="0.2">
      <c r="A121" s="4">
        <v>50</v>
      </c>
      <c r="B121" s="4">
        <v>0</v>
      </c>
      <c r="C121" s="4">
        <v>0</v>
      </c>
      <c r="D121" s="4">
        <v>1</v>
      </c>
      <c r="E121" s="4">
        <v>201</v>
      </c>
      <c r="F121" s="4">
        <f>ROUND(Source!O119,O121)</f>
        <v>85252.66</v>
      </c>
      <c r="G121" s="4" t="s">
        <v>55</v>
      </c>
      <c r="H121" s="4" t="s">
        <v>56</v>
      </c>
      <c r="I121" s="4"/>
      <c r="J121" s="4"/>
      <c r="K121" s="4">
        <v>-201</v>
      </c>
      <c r="L121" s="4">
        <v>1</v>
      </c>
      <c r="M121" s="4">
        <v>3</v>
      </c>
      <c r="N121" s="4" t="s">
        <v>3</v>
      </c>
      <c r="O121" s="4">
        <v>2</v>
      </c>
      <c r="P121" s="4"/>
      <c r="Q121" s="4"/>
      <c r="R121" s="4"/>
      <c r="S121" s="4"/>
      <c r="T121" s="4"/>
      <c r="U121" s="4"/>
      <c r="V121" s="4"/>
      <c r="W121" s="4"/>
    </row>
    <row r="122" spans="1:245" x14ac:dyDescent="0.2">
      <c r="A122" s="4">
        <v>50</v>
      </c>
      <c r="B122" s="4">
        <v>0</v>
      </c>
      <c r="C122" s="4">
        <v>0</v>
      </c>
      <c r="D122" s="4">
        <v>1</v>
      </c>
      <c r="E122" s="4">
        <v>202</v>
      </c>
      <c r="F122" s="4">
        <f>ROUND(Source!P119,O122)</f>
        <v>49282.95</v>
      </c>
      <c r="G122" s="4" t="s">
        <v>57</v>
      </c>
      <c r="H122" s="4" t="s">
        <v>58</v>
      </c>
      <c r="I122" s="4"/>
      <c r="J122" s="4"/>
      <c r="K122" s="4">
        <v>-202</v>
      </c>
      <c r="L122" s="4">
        <v>2</v>
      </c>
      <c r="M122" s="4">
        <v>3</v>
      </c>
      <c r="N122" s="4" t="s">
        <v>3</v>
      </c>
      <c r="O122" s="4">
        <v>2</v>
      </c>
      <c r="P122" s="4"/>
      <c r="Q122" s="4"/>
      <c r="R122" s="4"/>
      <c r="S122" s="4"/>
      <c r="T122" s="4"/>
      <c r="U122" s="4"/>
      <c r="V122" s="4"/>
      <c r="W122" s="4"/>
    </row>
    <row r="123" spans="1:245" x14ac:dyDescent="0.2">
      <c r="A123" s="4">
        <v>50</v>
      </c>
      <c r="B123" s="4">
        <v>0</v>
      </c>
      <c r="C123" s="4">
        <v>0</v>
      </c>
      <c r="D123" s="4">
        <v>1</v>
      </c>
      <c r="E123" s="4">
        <v>222</v>
      </c>
      <c r="F123" s="4">
        <f>ROUND(Source!AO119,O123)</f>
        <v>0</v>
      </c>
      <c r="G123" s="4" t="s">
        <v>59</v>
      </c>
      <c r="H123" s="4" t="s">
        <v>60</v>
      </c>
      <c r="I123" s="4"/>
      <c r="J123" s="4"/>
      <c r="K123" s="4">
        <v>-222</v>
      </c>
      <c r="L123" s="4">
        <v>3</v>
      </c>
      <c r="M123" s="4">
        <v>3</v>
      </c>
      <c r="N123" s="4" t="s">
        <v>3</v>
      </c>
      <c r="O123" s="4">
        <v>2</v>
      </c>
      <c r="P123" s="4"/>
      <c r="Q123" s="4"/>
      <c r="R123" s="4"/>
      <c r="S123" s="4"/>
      <c r="T123" s="4"/>
      <c r="U123" s="4"/>
      <c r="V123" s="4"/>
      <c r="W123" s="4"/>
    </row>
    <row r="124" spans="1:245" x14ac:dyDescent="0.2">
      <c r="A124" s="4">
        <v>50</v>
      </c>
      <c r="B124" s="4">
        <v>0</v>
      </c>
      <c r="C124" s="4">
        <v>0</v>
      </c>
      <c r="D124" s="4">
        <v>1</v>
      </c>
      <c r="E124" s="4">
        <v>225</v>
      </c>
      <c r="F124" s="4">
        <f>ROUND(Source!AV119,O124)</f>
        <v>49282.95</v>
      </c>
      <c r="G124" s="4" t="s">
        <v>61</v>
      </c>
      <c r="H124" s="4" t="s">
        <v>62</v>
      </c>
      <c r="I124" s="4"/>
      <c r="J124" s="4"/>
      <c r="K124" s="4">
        <v>-225</v>
      </c>
      <c r="L124" s="4">
        <v>4</v>
      </c>
      <c r="M124" s="4">
        <v>3</v>
      </c>
      <c r="N124" s="4" t="s">
        <v>3</v>
      </c>
      <c r="O124" s="4">
        <v>2</v>
      </c>
      <c r="P124" s="4"/>
      <c r="Q124" s="4"/>
      <c r="R124" s="4"/>
      <c r="S124" s="4"/>
      <c r="T124" s="4"/>
      <c r="U124" s="4"/>
      <c r="V124" s="4"/>
      <c r="W124" s="4"/>
    </row>
    <row r="125" spans="1:245" x14ac:dyDescent="0.2">
      <c r="A125" s="4">
        <v>50</v>
      </c>
      <c r="B125" s="4">
        <v>0</v>
      </c>
      <c r="C125" s="4">
        <v>0</v>
      </c>
      <c r="D125" s="4">
        <v>1</v>
      </c>
      <c r="E125" s="4">
        <v>226</v>
      </c>
      <c r="F125" s="4">
        <f>ROUND(Source!AW119,O125)</f>
        <v>49282.95</v>
      </c>
      <c r="G125" s="4" t="s">
        <v>63</v>
      </c>
      <c r="H125" s="4" t="s">
        <v>64</v>
      </c>
      <c r="I125" s="4"/>
      <c r="J125" s="4"/>
      <c r="K125" s="4">
        <v>-226</v>
      </c>
      <c r="L125" s="4">
        <v>5</v>
      </c>
      <c r="M125" s="4">
        <v>3</v>
      </c>
      <c r="N125" s="4" t="s">
        <v>3</v>
      </c>
      <c r="O125" s="4">
        <v>2</v>
      </c>
      <c r="P125" s="4"/>
      <c r="Q125" s="4"/>
      <c r="R125" s="4"/>
      <c r="S125" s="4"/>
      <c r="T125" s="4"/>
      <c r="U125" s="4"/>
      <c r="V125" s="4"/>
      <c r="W125" s="4"/>
    </row>
    <row r="126" spans="1:245" x14ac:dyDescent="0.2">
      <c r="A126" s="4">
        <v>50</v>
      </c>
      <c r="B126" s="4">
        <v>0</v>
      </c>
      <c r="C126" s="4">
        <v>0</v>
      </c>
      <c r="D126" s="4">
        <v>1</v>
      </c>
      <c r="E126" s="4">
        <v>227</v>
      </c>
      <c r="F126" s="4">
        <f>ROUND(Source!AX119,O126)</f>
        <v>0</v>
      </c>
      <c r="G126" s="4" t="s">
        <v>65</v>
      </c>
      <c r="H126" s="4" t="s">
        <v>66</v>
      </c>
      <c r="I126" s="4"/>
      <c r="J126" s="4"/>
      <c r="K126" s="4">
        <v>-227</v>
      </c>
      <c r="L126" s="4">
        <v>6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/>
    </row>
    <row r="127" spans="1:245" x14ac:dyDescent="0.2">
      <c r="A127" s="4">
        <v>50</v>
      </c>
      <c r="B127" s="4">
        <v>0</v>
      </c>
      <c r="C127" s="4">
        <v>0</v>
      </c>
      <c r="D127" s="4">
        <v>1</v>
      </c>
      <c r="E127" s="4">
        <v>228</v>
      </c>
      <c r="F127" s="4">
        <f>ROUND(Source!AY119,O127)</f>
        <v>49282.95</v>
      </c>
      <c r="G127" s="4" t="s">
        <v>67</v>
      </c>
      <c r="H127" s="4" t="s">
        <v>68</v>
      </c>
      <c r="I127" s="4"/>
      <c r="J127" s="4"/>
      <c r="K127" s="4">
        <v>-228</v>
      </c>
      <c r="L127" s="4">
        <v>7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/>
    </row>
    <row r="128" spans="1:245" x14ac:dyDescent="0.2">
      <c r="A128" s="4">
        <v>50</v>
      </c>
      <c r="B128" s="4">
        <v>0</v>
      </c>
      <c r="C128" s="4">
        <v>0</v>
      </c>
      <c r="D128" s="4">
        <v>1</v>
      </c>
      <c r="E128" s="4">
        <v>216</v>
      </c>
      <c r="F128" s="4">
        <f>ROUND(Source!AP119,O128)</f>
        <v>0</v>
      </c>
      <c r="G128" s="4" t="s">
        <v>69</v>
      </c>
      <c r="H128" s="4" t="s">
        <v>70</v>
      </c>
      <c r="I128" s="4"/>
      <c r="J128" s="4"/>
      <c r="K128" s="4">
        <v>-216</v>
      </c>
      <c r="L128" s="4">
        <v>8</v>
      </c>
      <c r="M128" s="4">
        <v>3</v>
      </c>
      <c r="N128" s="4" t="s">
        <v>3</v>
      </c>
      <c r="O128" s="4">
        <v>2</v>
      </c>
      <c r="P128" s="4"/>
      <c r="Q128" s="4"/>
      <c r="R128" s="4"/>
      <c r="S128" s="4"/>
      <c r="T128" s="4"/>
      <c r="U128" s="4"/>
      <c r="V128" s="4"/>
      <c r="W128" s="4"/>
    </row>
    <row r="129" spans="1:23" x14ac:dyDescent="0.2">
      <c r="A129" s="4">
        <v>50</v>
      </c>
      <c r="B129" s="4">
        <v>0</v>
      </c>
      <c r="C129" s="4">
        <v>0</v>
      </c>
      <c r="D129" s="4">
        <v>1</v>
      </c>
      <c r="E129" s="4">
        <v>223</v>
      </c>
      <c r="F129" s="4">
        <f>ROUND(Source!AQ119,O129)</f>
        <v>0</v>
      </c>
      <c r="G129" s="4" t="s">
        <v>71</v>
      </c>
      <c r="H129" s="4" t="s">
        <v>72</v>
      </c>
      <c r="I129" s="4"/>
      <c r="J129" s="4"/>
      <c r="K129" s="4">
        <v>-223</v>
      </c>
      <c r="L129" s="4">
        <v>9</v>
      </c>
      <c r="M129" s="4">
        <v>3</v>
      </c>
      <c r="N129" s="4" t="s">
        <v>3</v>
      </c>
      <c r="O129" s="4">
        <v>2</v>
      </c>
      <c r="P129" s="4"/>
      <c r="Q129" s="4"/>
      <c r="R129" s="4"/>
      <c r="S129" s="4"/>
      <c r="T129" s="4"/>
      <c r="U129" s="4"/>
      <c r="V129" s="4"/>
      <c r="W129" s="4"/>
    </row>
    <row r="130" spans="1:23" x14ac:dyDescent="0.2">
      <c r="A130" s="4">
        <v>50</v>
      </c>
      <c r="B130" s="4">
        <v>0</v>
      </c>
      <c r="C130" s="4">
        <v>0</v>
      </c>
      <c r="D130" s="4">
        <v>1</v>
      </c>
      <c r="E130" s="4">
        <v>229</v>
      </c>
      <c r="F130" s="4">
        <f>ROUND(Source!AZ119,O130)</f>
        <v>0</v>
      </c>
      <c r="G130" s="4" t="s">
        <v>73</v>
      </c>
      <c r="H130" s="4" t="s">
        <v>74</v>
      </c>
      <c r="I130" s="4"/>
      <c r="J130" s="4"/>
      <c r="K130" s="4">
        <v>-229</v>
      </c>
      <c r="L130" s="4">
        <v>10</v>
      </c>
      <c r="M130" s="4">
        <v>3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/>
    </row>
    <row r="131" spans="1:23" x14ac:dyDescent="0.2">
      <c r="A131" s="4">
        <v>50</v>
      </c>
      <c r="B131" s="4">
        <v>0</v>
      </c>
      <c r="C131" s="4">
        <v>0</v>
      </c>
      <c r="D131" s="4">
        <v>1</v>
      </c>
      <c r="E131" s="4">
        <v>203</v>
      </c>
      <c r="F131" s="4">
        <f>ROUND(Source!Q119,O131)</f>
        <v>31903.34</v>
      </c>
      <c r="G131" s="4" t="s">
        <v>75</v>
      </c>
      <c r="H131" s="4" t="s">
        <v>76</v>
      </c>
      <c r="I131" s="4"/>
      <c r="J131" s="4"/>
      <c r="K131" s="4">
        <v>-203</v>
      </c>
      <c r="L131" s="4">
        <v>11</v>
      </c>
      <c r="M131" s="4">
        <v>3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/>
    </row>
    <row r="132" spans="1:23" x14ac:dyDescent="0.2">
      <c r="A132" s="4">
        <v>50</v>
      </c>
      <c r="B132" s="4">
        <v>0</v>
      </c>
      <c r="C132" s="4">
        <v>0</v>
      </c>
      <c r="D132" s="4">
        <v>1</v>
      </c>
      <c r="E132" s="4">
        <v>231</v>
      </c>
      <c r="F132" s="4">
        <f>ROUND(Source!BB119,O132)</f>
        <v>0</v>
      </c>
      <c r="G132" s="4" t="s">
        <v>77</v>
      </c>
      <c r="H132" s="4" t="s">
        <v>78</v>
      </c>
      <c r="I132" s="4"/>
      <c r="J132" s="4"/>
      <c r="K132" s="4">
        <v>-231</v>
      </c>
      <c r="L132" s="4">
        <v>12</v>
      </c>
      <c r="M132" s="4">
        <v>3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/>
    </row>
    <row r="133" spans="1:23" x14ac:dyDescent="0.2">
      <c r="A133" s="4">
        <v>50</v>
      </c>
      <c r="B133" s="4">
        <v>0</v>
      </c>
      <c r="C133" s="4">
        <v>0</v>
      </c>
      <c r="D133" s="4">
        <v>1</v>
      </c>
      <c r="E133" s="4">
        <v>204</v>
      </c>
      <c r="F133" s="4">
        <f>ROUND(Source!R119,O133)</f>
        <v>21010.46</v>
      </c>
      <c r="G133" s="4" t="s">
        <v>79</v>
      </c>
      <c r="H133" s="4" t="s">
        <v>80</v>
      </c>
      <c r="I133" s="4"/>
      <c r="J133" s="4"/>
      <c r="K133" s="4">
        <v>-204</v>
      </c>
      <c r="L133" s="4">
        <v>13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/>
    </row>
    <row r="134" spans="1:23" x14ac:dyDescent="0.2">
      <c r="A134" s="4">
        <v>50</v>
      </c>
      <c r="B134" s="4">
        <v>0</v>
      </c>
      <c r="C134" s="4">
        <v>0</v>
      </c>
      <c r="D134" s="4">
        <v>1</v>
      </c>
      <c r="E134" s="4">
        <v>205</v>
      </c>
      <c r="F134" s="4">
        <f>ROUND(Source!S119,O134)</f>
        <v>4066.37</v>
      </c>
      <c r="G134" s="4" t="s">
        <v>81</v>
      </c>
      <c r="H134" s="4" t="s">
        <v>82</v>
      </c>
      <c r="I134" s="4"/>
      <c r="J134" s="4"/>
      <c r="K134" s="4">
        <v>-205</v>
      </c>
      <c r="L134" s="4">
        <v>14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/>
    </row>
    <row r="135" spans="1:23" x14ac:dyDescent="0.2">
      <c r="A135" s="4">
        <v>50</v>
      </c>
      <c r="B135" s="4">
        <v>0</v>
      </c>
      <c r="C135" s="4">
        <v>0</v>
      </c>
      <c r="D135" s="4">
        <v>1</v>
      </c>
      <c r="E135" s="4">
        <v>232</v>
      </c>
      <c r="F135" s="4">
        <f>ROUND(Source!BC119,O135)</f>
        <v>0</v>
      </c>
      <c r="G135" s="4" t="s">
        <v>83</v>
      </c>
      <c r="H135" s="4" t="s">
        <v>84</v>
      </c>
      <c r="I135" s="4"/>
      <c r="J135" s="4"/>
      <c r="K135" s="4">
        <v>-232</v>
      </c>
      <c r="L135" s="4">
        <v>15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23" x14ac:dyDescent="0.2">
      <c r="A136" s="4">
        <v>50</v>
      </c>
      <c r="B136" s="4">
        <v>0</v>
      </c>
      <c r="C136" s="4">
        <v>0</v>
      </c>
      <c r="D136" s="4">
        <v>1</v>
      </c>
      <c r="E136" s="4">
        <v>214</v>
      </c>
      <c r="F136" s="4">
        <f>ROUND(Source!AS119,O136)</f>
        <v>0</v>
      </c>
      <c r="G136" s="4" t="s">
        <v>85</v>
      </c>
      <c r="H136" s="4" t="s">
        <v>86</v>
      </c>
      <c r="I136" s="4"/>
      <c r="J136" s="4"/>
      <c r="K136" s="4">
        <v>-214</v>
      </c>
      <c r="L136" s="4">
        <v>16</v>
      </c>
      <c r="M136" s="4">
        <v>3</v>
      </c>
      <c r="N136" s="4" t="s">
        <v>3</v>
      </c>
      <c r="O136" s="4">
        <v>2</v>
      </c>
      <c r="P136" s="4"/>
      <c r="Q136" s="4"/>
      <c r="R136" s="4"/>
      <c r="S136" s="4"/>
      <c r="T136" s="4"/>
      <c r="U136" s="4"/>
      <c r="V136" s="4"/>
      <c r="W136" s="4"/>
    </row>
    <row r="137" spans="1:23" x14ac:dyDescent="0.2">
      <c r="A137" s="4">
        <v>50</v>
      </c>
      <c r="B137" s="4">
        <v>0</v>
      </c>
      <c r="C137" s="4">
        <v>0</v>
      </c>
      <c r="D137" s="4">
        <v>1</v>
      </c>
      <c r="E137" s="4">
        <v>215</v>
      </c>
      <c r="F137" s="4">
        <f>ROUND(Source!AT119,O137)</f>
        <v>0</v>
      </c>
      <c r="G137" s="4" t="s">
        <v>87</v>
      </c>
      <c r="H137" s="4" t="s">
        <v>88</v>
      </c>
      <c r="I137" s="4"/>
      <c r="J137" s="4"/>
      <c r="K137" s="4">
        <v>-215</v>
      </c>
      <c r="L137" s="4">
        <v>17</v>
      </c>
      <c r="M137" s="4">
        <v>3</v>
      </c>
      <c r="N137" s="4" t="s">
        <v>3</v>
      </c>
      <c r="O137" s="4">
        <v>2</v>
      </c>
      <c r="P137" s="4"/>
      <c r="Q137" s="4"/>
      <c r="R137" s="4"/>
      <c r="S137" s="4"/>
      <c r="T137" s="4"/>
      <c r="U137" s="4"/>
      <c r="V137" s="4"/>
      <c r="W137" s="4"/>
    </row>
    <row r="138" spans="1:23" x14ac:dyDescent="0.2">
      <c r="A138" s="4">
        <v>50</v>
      </c>
      <c r="B138" s="4">
        <v>0</v>
      </c>
      <c r="C138" s="4">
        <v>0</v>
      </c>
      <c r="D138" s="4">
        <v>1</v>
      </c>
      <c r="E138" s="4">
        <v>217</v>
      </c>
      <c r="F138" s="4">
        <f>ROUND(Source!AU119,O138)</f>
        <v>92588.4</v>
      </c>
      <c r="G138" s="4" t="s">
        <v>89</v>
      </c>
      <c r="H138" s="4" t="s">
        <v>90</v>
      </c>
      <c r="I138" s="4"/>
      <c r="J138" s="4"/>
      <c r="K138" s="4">
        <v>-217</v>
      </c>
      <c r="L138" s="4">
        <v>18</v>
      </c>
      <c r="M138" s="4">
        <v>3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/>
    </row>
    <row r="139" spans="1:23" x14ac:dyDescent="0.2">
      <c r="A139" s="4">
        <v>50</v>
      </c>
      <c r="B139" s="4">
        <v>0</v>
      </c>
      <c r="C139" s="4">
        <v>0</v>
      </c>
      <c r="D139" s="4">
        <v>1</v>
      </c>
      <c r="E139" s="4">
        <v>230</v>
      </c>
      <c r="F139" s="4">
        <f>ROUND(Source!BA119,O139)</f>
        <v>0</v>
      </c>
      <c r="G139" s="4" t="s">
        <v>91</v>
      </c>
      <c r="H139" s="4" t="s">
        <v>92</v>
      </c>
      <c r="I139" s="4"/>
      <c r="J139" s="4"/>
      <c r="K139" s="4">
        <v>-230</v>
      </c>
      <c r="L139" s="4">
        <v>19</v>
      </c>
      <c r="M139" s="4">
        <v>3</v>
      </c>
      <c r="N139" s="4" t="s">
        <v>3</v>
      </c>
      <c r="O139" s="4">
        <v>2</v>
      </c>
      <c r="P139" s="4"/>
      <c r="Q139" s="4"/>
      <c r="R139" s="4"/>
      <c r="S139" s="4"/>
      <c r="T139" s="4"/>
      <c r="U139" s="4"/>
      <c r="V139" s="4"/>
      <c r="W139" s="4"/>
    </row>
    <row r="140" spans="1:23" x14ac:dyDescent="0.2">
      <c r="A140" s="4">
        <v>50</v>
      </c>
      <c r="B140" s="4">
        <v>0</v>
      </c>
      <c r="C140" s="4">
        <v>0</v>
      </c>
      <c r="D140" s="4">
        <v>1</v>
      </c>
      <c r="E140" s="4">
        <v>206</v>
      </c>
      <c r="F140" s="4">
        <f>ROUND(Source!T119,O140)</f>
        <v>0</v>
      </c>
      <c r="G140" s="4" t="s">
        <v>93</v>
      </c>
      <c r="H140" s="4" t="s">
        <v>94</v>
      </c>
      <c r="I140" s="4"/>
      <c r="J140" s="4"/>
      <c r="K140" s="4">
        <v>-206</v>
      </c>
      <c r="L140" s="4">
        <v>20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/>
    </row>
    <row r="141" spans="1:23" x14ac:dyDescent="0.2">
      <c r="A141" s="4">
        <v>50</v>
      </c>
      <c r="B141" s="4">
        <v>0</v>
      </c>
      <c r="C141" s="4">
        <v>0</v>
      </c>
      <c r="D141" s="4">
        <v>1</v>
      </c>
      <c r="E141" s="4">
        <v>207</v>
      </c>
      <c r="F141" s="4">
        <f>Source!U119</f>
        <v>24.12725</v>
      </c>
      <c r="G141" s="4" t="s">
        <v>95</v>
      </c>
      <c r="H141" s="4" t="s">
        <v>96</v>
      </c>
      <c r="I141" s="4"/>
      <c r="J141" s="4"/>
      <c r="K141" s="4">
        <v>-207</v>
      </c>
      <c r="L141" s="4">
        <v>21</v>
      </c>
      <c r="M141" s="4">
        <v>3</v>
      </c>
      <c r="N141" s="4" t="s">
        <v>3</v>
      </c>
      <c r="O141" s="4">
        <v>-1</v>
      </c>
      <c r="P141" s="4"/>
      <c r="Q141" s="4"/>
      <c r="R141" s="4"/>
      <c r="S141" s="4"/>
      <c r="T141" s="4"/>
      <c r="U141" s="4"/>
      <c r="V141" s="4"/>
      <c r="W141" s="4"/>
    </row>
    <row r="142" spans="1:23" x14ac:dyDescent="0.2">
      <c r="A142" s="4">
        <v>50</v>
      </c>
      <c r="B142" s="4">
        <v>0</v>
      </c>
      <c r="C142" s="4">
        <v>0</v>
      </c>
      <c r="D142" s="4">
        <v>1</v>
      </c>
      <c r="E142" s="4">
        <v>208</v>
      </c>
      <c r="F142" s="4">
        <f>Source!V119</f>
        <v>0</v>
      </c>
      <c r="G142" s="4" t="s">
        <v>97</v>
      </c>
      <c r="H142" s="4" t="s">
        <v>98</v>
      </c>
      <c r="I142" s="4"/>
      <c r="J142" s="4"/>
      <c r="K142" s="4">
        <v>-208</v>
      </c>
      <c r="L142" s="4">
        <v>22</v>
      </c>
      <c r="M142" s="4">
        <v>3</v>
      </c>
      <c r="N142" s="4" t="s">
        <v>3</v>
      </c>
      <c r="O142" s="4">
        <v>-1</v>
      </c>
      <c r="P142" s="4"/>
      <c r="Q142" s="4"/>
      <c r="R142" s="4"/>
      <c r="S142" s="4"/>
      <c r="T142" s="4"/>
      <c r="U142" s="4"/>
      <c r="V142" s="4"/>
      <c r="W142" s="4"/>
    </row>
    <row r="143" spans="1:23" x14ac:dyDescent="0.2">
      <c r="A143" s="4">
        <v>50</v>
      </c>
      <c r="B143" s="4">
        <v>0</v>
      </c>
      <c r="C143" s="4">
        <v>0</v>
      </c>
      <c r="D143" s="4">
        <v>1</v>
      </c>
      <c r="E143" s="4">
        <v>209</v>
      </c>
      <c r="F143" s="4">
        <f>ROUND(Source!W119,O143)</f>
        <v>0</v>
      </c>
      <c r="G143" s="4" t="s">
        <v>99</v>
      </c>
      <c r="H143" s="4" t="s">
        <v>100</v>
      </c>
      <c r="I143" s="4"/>
      <c r="J143" s="4"/>
      <c r="K143" s="4">
        <v>-209</v>
      </c>
      <c r="L143" s="4">
        <v>23</v>
      </c>
      <c r="M143" s="4">
        <v>3</v>
      </c>
      <c r="N143" s="4" t="s">
        <v>3</v>
      </c>
      <c r="O143" s="4">
        <v>2</v>
      </c>
      <c r="P143" s="4"/>
      <c r="Q143" s="4"/>
      <c r="R143" s="4"/>
      <c r="S143" s="4"/>
      <c r="T143" s="4"/>
      <c r="U143" s="4"/>
      <c r="V143" s="4"/>
      <c r="W143" s="4"/>
    </row>
    <row r="144" spans="1:23" x14ac:dyDescent="0.2">
      <c r="A144" s="4">
        <v>50</v>
      </c>
      <c r="B144" s="4">
        <v>0</v>
      </c>
      <c r="C144" s="4">
        <v>0</v>
      </c>
      <c r="D144" s="4">
        <v>1</v>
      </c>
      <c r="E144" s="4">
        <v>210</v>
      </c>
      <c r="F144" s="4">
        <f>ROUND(Source!X119,O144)</f>
        <v>2846.46</v>
      </c>
      <c r="G144" s="4" t="s">
        <v>101</v>
      </c>
      <c r="H144" s="4" t="s">
        <v>102</v>
      </c>
      <c r="I144" s="4"/>
      <c r="J144" s="4"/>
      <c r="K144" s="4">
        <v>-210</v>
      </c>
      <c r="L144" s="4">
        <v>24</v>
      </c>
      <c r="M144" s="4">
        <v>3</v>
      </c>
      <c r="N144" s="4" t="s">
        <v>3</v>
      </c>
      <c r="O144" s="4">
        <v>2</v>
      </c>
      <c r="P144" s="4"/>
      <c r="Q144" s="4"/>
      <c r="R144" s="4"/>
      <c r="S144" s="4"/>
      <c r="T144" s="4"/>
      <c r="U144" s="4"/>
      <c r="V144" s="4"/>
      <c r="W144" s="4"/>
    </row>
    <row r="145" spans="1:245" x14ac:dyDescent="0.2">
      <c r="A145" s="4">
        <v>50</v>
      </c>
      <c r="B145" s="4">
        <v>0</v>
      </c>
      <c r="C145" s="4">
        <v>0</v>
      </c>
      <c r="D145" s="4">
        <v>1</v>
      </c>
      <c r="E145" s="4">
        <v>211</v>
      </c>
      <c r="F145" s="4">
        <f>ROUND(Source!Y119,O145)</f>
        <v>406.64</v>
      </c>
      <c r="G145" s="4" t="s">
        <v>103</v>
      </c>
      <c r="H145" s="4" t="s">
        <v>104</v>
      </c>
      <c r="I145" s="4"/>
      <c r="J145" s="4"/>
      <c r="K145" s="4">
        <v>-211</v>
      </c>
      <c r="L145" s="4">
        <v>25</v>
      </c>
      <c r="M145" s="4">
        <v>3</v>
      </c>
      <c r="N145" s="4" t="s">
        <v>3</v>
      </c>
      <c r="O145" s="4">
        <v>2</v>
      </c>
      <c r="P145" s="4"/>
      <c r="Q145" s="4"/>
      <c r="R145" s="4"/>
      <c r="S145" s="4"/>
      <c r="T145" s="4"/>
      <c r="U145" s="4"/>
      <c r="V145" s="4"/>
      <c r="W145" s="4"/>
    </row>
    <row r="146" spans="1:245" x14ac:dyDescent="0.2">
      <c r="A146" s="4">
        <v>50</v>
      </c>
      <c r="B146" s="4">
        <v>0</v>
      </c>
      <c r="C146" s="4">
        <v>0</v>
      </c>
      <c r="D146" s="4">
        <v>1</v>
      </c>
      <c r="E146" s="4">
        <v>224</v>
      </c>
      <c r="F146" s="4">
        <f>ROUND(Source!AR119,O146)</f>
        <v>92588.4</v>
      </c>
      <c r="G146" s="4" t="s">
        <v>105</v>
      </c>
      <c r="H146" s="4" t="s">
        <v>106</v>
      </c>
      <c r="I146" s="4"/>
      <c r="J146" s="4"/>
      <c r="K146" s="4">
        <v>-224</v>
      </c>
      <c r="L146" s="4">
        <v>26</v>
      </c>
      <c r="M146" s="4">
        <v>3</v>
      </c>
      <c r="N146" s="4" t="s">
        <v>3</v>
      </c>
      <c r="O146" s="4">
        <v>2</v>
      </c>
      <c r="P146" s="4"/>
      <c r="Q146" s="4"/>
      <c r="R146" s="4"/>
      <c r="S146" s="4"/>
      <c r="T146" s="4"/>
      <c r="U146" s="4"/>
      <c r="V146" s="4"/>
      <c r="W146" s="4"/>
    </row>
    <row r="148" spans="1:245" x14ac:dyDescent="0.2">
      <c r="A148" s="1">
        <v>4</v>
      </c>
      <c r="B148" s="1">
        <v>1</v>
      </c>
      <c r="C148" s="1"/>
      <c r="D148" s="1">
        <f>ROW(A228)</f>
        <v>228</v>
      </c>
      <c r="E148" s="1"/>
      <c r="F148" s="1" t="s">
        <v>12</v>
      </c>
      <c r="G148" s="1" t="s">
        <v>135</v>
      </c>
      <c r="H148" s="1" t="s">
        <v>3</v>
      </c>
      <c r="I148" s="1">
        <v>0</v>
      </c>
      <c r="J148" s="1"/>
      <c r="K148" s="1">
        <v>0</v>
      </c>
      <c r="L148" s="1"/>
      <c r="M148" s="1"/>
      <c r="N148" s="1"/>
      <c r="O148" s="1"/>
      <c r="P148" s="1"/>
      <c r="Q148" s="1"/>
      <c r="R148" s="1"/>
      <c r="S148" s="1"/>
      <c r="T148" s="1"/>
      <c r="U148" s="1" t="s">
        <v>3</v>
      </c>
      <c r="V148" s="1">
        <v>0</v>
      </c>
      <c r="W148" s="1"/>
      <c r="X148" s="1"/>
      <c r="Y148" s="1"/>
      <c r="Z148" s="1"/>
      <c r="AA148" s="1"/>
      <c r="AB148" s="1" t="s">
        <v>3</v>
      </c>
      <c r="AC148" s="1" t="s">
        <v>3</v>
      </c>
      <c r="AD148" s="1" t="s">
        <v>3</v>
      </c>
      <c r="AE148" s="1" t="s">
        <v>3</v>
      </c>
      <c r="AF148" s="1" t="s">
        <v>3</v>
      </c>
      <c r="AG148" s="1" t="s">
        <v>3</v>
      </c>
      <c r="AH148" s="1"/>
      <c r="AI148" s="1"/>
      <c r="AJ148" s="1"/>
      <c r="AK148" s="1"/>
      <c r="AL148" s="1"/>
      <c r="AM148" s="1"/>
      <c r="AN148" s="1"/>
      <c r="AO148" s="1"/>
      <c r="AP148" s="1" t="s">
        <v>3</v>
      </c>
      <c r="AQ148" s="1" t="s">
        <v>3</v>
      </c>
      <c r="AR148" s="1" t="s">
        <v>3</v>
      </c>
      <c r="AS148" s="1"/>
      <c r="AT148" s="1"/>
      <c r="AU148" s="1"/>
      <c r="AV148" s="1"/>
      <c r="AW148" s="1"/>
      <c r="AX148" s="1"/>
      <c r="AY148" s="1"/>
      <c r="AZ148" s="1" t="s">
        <v>3</v>
      </c>
      <c r="BA148" s="1"/>
      <c r="BB148" s="1" t="s">
        <v>3</v>
      </c>
      <c r="BC148" s="1" t="s">
        <v>3</v>
      </c>
      <c r="BD148" s="1" t="s">
        <v>3</v>
      </c>
      <c r="BE148" s="1" t="s">
        <v>3</v>
      </c>
      <c r="BF148" s="1" t="s">
        <v>3</v>
      </c>
      <c r="BG148" s="1" t="s">
        <v>3</v>
      </c>
      <c r="BH148" s="1" t="s">
        <v>3</v>
      </c>
      <c r="BI148" s="1" t="s">
        <v>3</v>
      </c>
      <c r="BJ148" s="1" t="s">
        <v>3</v>
      </c>
      <c r="BK148" s="1" t="s">
        <v>3</v>
      </c>
      <c r="BL148" s="1" t="s">
        <v>3</v>
      </c>
      <c r="BM148" s="1" t="s">
        <v>3</v>
      </c>
      <c r="BN148" s="1" t="s">
        <v>3</v>
      </c>
      <c r="BO148" s="1" t="s">
        <v>3</v>
      </c>
      <c r="BP148" s="1" t="s">
        <v>3</v>
      </c>
      <c r="BQ148" s="1"/>
      <c r="BR148" s="1"/>
      <c r="BS148" s="1"/>
      <c r="BT148" s="1"/>
      <c r="BU148" s="1"/>
      <c r="BV148" s="1"/>
      <c r="BW148" s="1"/>
      <c r="BX148" s="1">
        <v>0</v>
      </c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>
        <v>0</v>
      </c>
    </row>
    <row r="150" spans="1:245" x14ac:dyDescent="0.2">
      <c r="A150" s="2">
        <v>52</v>
      </c>
      <c r="B150" s="2">
        <f t="shared" ref="B150:G150" si="131">B228</f>
        <v>1</v>
      </c>
      <c r="C150" s="2">
        <f t="shared" si="131"/>
        <v>4</v>
      </c>
      <c r="D150" s="2">
        <f t="shared" si="131"/>
        <v>148</v>
      </c>
      <c r="E150" s="2">
        <f t="shared" si="131"/>
        <v>0</v>
      </c>
      <c r="F150" s="2" t="str">
        <f t="shared" si="131"/>
        <v>Новый раздел</v>
      </c>
      <c r="G150" s="2" t="str">
        <f t="shared" si="131"/>
        <v>Замена бортового камня</v>
      </c>
      <c r="H150" s="2"/>
      <c r="I150" s="2"/>
      <c r="J150" s="2"/>
      <c r="K150" s="2"/>
      <c r="L150" s="2"/>
      <c r="M150" s="2"/>
      <c r="N150" s="2"/>
      <c r="O150" s="2">
        <f t="shared" ref="O150:AT150" si="132">O228</f>
        <v>266158.81</v>
      </c>
      <c r="P150" s="2">
        <f t="shared" si="132"/>
        <v>160221.42000000001</v>
      </c>
      <c r="Q150" s="2">
        <f t="shared" si="132"/>
        <v>33059.79</v>
      </c>
      <c r="R150" s="2">
        <f t="shared" si="132"/>
        <v>21853.14</v>
      </c>
      <c r="S150" s="2">
        <f t="shared" si="132"/>
        <v>72877.600000000006</v>
      </c>
      <c r="T150" s="2">
        <f t="shared" si="132"/>
        <v>0</v>
      </c>
      <c r="U150" s="2">
        <f t="shared" si="132"/>
        <v>431.64000000000004</v>
      </c>
      <c r="V150" s="2">
        <f t="shared" si="132"/>
        <v>0</v>
      </c>
      <c r="W150" s="2">
        <f t="shared" si="132"/>
        <v>0</v>
      </c>
      <c r="X150" s="2">
        <f t="shared" si="132"/>
        <v>51014.32</v>
      </c>
      <c r="Y150" s="2">
        <f t="shared" si="132"/>
        <v>7287.76</v>
      </c>
      <c r="Z150" s="2">
        <f t="shared" si="132"/>
        <v>0</v>
      </c>
      <c r="AA150" s="2">
        <f t="shared" si="132"/>
        <v>0</v>
      </c>
      <c r="AB150" s="2">
        <f t="shared" si="132"/>
        <v>0</v>
      </c>
      <c r="AC150" s="2">
        <f t="shared" si="132"/>
        <v>0</v>
      </c>
      <c r="AD150" s="2">
        <f t="shared" si="132"/>
        <v>0</v>
      </c>
      <c r="AE150" s="2">
        <f t="shared" si="132"/>
        <v>0</v>
      </c>
      <c r="AF150" s="2">
        <f t="shared" si="132"/>
        <v>0</v>
      </c>
      <c r="AG150" s="2">
        <f t="shared" si="132"/>
        <v>0</v>
      </c>
      <c r="AH150" s="2">
        <f t="shared" si="132"/>
        <v>0</v>
      </c>
      <c r="AI150" s="2">
        <f t="shared" si="132"/>
        <v>0</v>
      </c>
      <c r="AJ150" s="2">
        <f t="shared" si="132"/>
        <v>0</v>
      </c>
      <c r="AK150" s="2">
        <f t="shared" si="132"/>
        <v>0</v>
      </c>
      <c r="AL150" s="2">
        <f t="shared" si="132"/>
        <v>0</v>
      </c>
      <c r="AM150" s="2">
        <f t="shared" si="132"/>
        <v>0</v>
      </c>
      <c r="AN150" s="2">
        <f t="shared" si="132"/>
        <v>0</v>
      </c>
      <c r="AO150" s="2">
        <f t="shared" si="132"/>
        <v>0</v>
      </c>
      <c r="AP150" s="2">
        <f t="shared" si="132"/>
        <v>0</v>
      </c>
      <c r="AQ150" s="2">
        <f t="shared" si="132"/>
        <v>0</v>
      </c>
      <c r="AR150" s="2">
        <f t="shared" si="132"/>
        <v>331278.25</v>
      </c>
      <c r="AS150" s="2">
        <f t="shared" si="132"/>
        <v>0</v>
      </c>
      <c r="AT150" s="2">
        <f t="shared" si="132"/>
        <v>0</v>
      </c>
      <c r="AU150" s="2">
        <f t="shared" ref="AU150:BZ150" si="133">AU228</f>
        <v>331278.25</v>
      </c>
      <c r="AV150" s="2">
        <f t="shared" si="133"/>
        <v>160221.42000000001</v>
      </c>
      <c r="AW150" s="2">
        <f t="shared" si="133"/>
        <v>160221.42000000001</v>
      </c>
      <c r="AX150" s="2">
        <f t="shared" si="133"/>
        <v>0</v>
      </c>
      <c r="AY150" s="2">
        <f t="shared" si="133"/>
        <v>160221.42000000001</v>
      </c>
      <c r="AZ150" s="2">
        <f t="shared" si="133"/>
        <v>0</v>
      </c>
      <c r="BA150" s="2">
        <f t="shared" si="133"/>
        <v>0</v>
      </c>
      <c r="BB150" s="2">
        <f t="shared" si="133"/>
        <v>0</v>
      </c>
      <c r="BC150" s="2">
        <f t="shared" si="133"/>
        <v>0</v>
      </c>
      <c r="BD150" s="2">
        <f t="shared" si="133"/>
        <v>0</v>
      </c>
      <c r="BE150" s="2">
        <f t="shared" si="133"/>
        <v>0</v>
      </c>
      <c r="BF150" s="2">
        <f t="shared" si="133"/>
        <v>0</v>
      </c>
      <c r="BG150" s="2">
        <f t="shared" si="133"/>
        <v>0</v>
      </c>
      <c r="BH150" s="2">
        <f t="shared" si="133"/>
        <v>0</v>
      </c>
      <c r="BI150" s="2">
        <f t="shared" si="133"/>
        <v>0</v>
      </c>
      <c r="BJ150" s="2">
        <f t="shared" si="133"/>
        <v>0</v>
      </c>
      <c r="BK150" s="2">
        <f t="shared" si="133"/>
        <v>0</v>
      </c>
      <c r="BL150" s="2">
        <f t="shared" si="133"/>
        <v>0</v>
      </c>
      <c r="BM150" s="2">
        <f t="shared" si="133"/>
        <v>0</v>
      </c>
      <c r="BN150" s="2">
        <f t="shared" si="133"/>
        <v>0</v>
      </c>
      <c r="BO150" s="2">
        <f t="shared" si="133"/>
        <v>0</v>
      </c>
      <c r="BP150" s="2">
        <f t="shared" si="133"/>
        <v>0</v>
      </c>
      <c r="BQ150" s="2">
        <f t="shared" si="133"/>
        <v>0</v>
      </c>
      <c r="BR150" s="2">
        <f t="shared" si="133"/>
        <v>0</v>
      </c>
      <c r="BS150" s="2">
        <f t="shared" si="133"/>
        <v>0</v>
      </c>
      <c r="BT150" s="2">
        <f t="shared" si="133"/>
        <v>0</v>
      </c>
      <c r="BU150" s="2">
        <f t="shared" si="133"/>
        <v>0</v>
      </c>
      <c r="BV150" s="2">
        <f t="shared" si="133"/>
        <v>0</v>
      </c>
      <c r="BW150" s="2">
        <f t="shared" si="133"/>
        <v>0</v>
      </c>
      <c r="BX150" s="2">
        <f t="shared" si="133"/>
        <v>0</v>
      </c>
      <c r="BY150" s="2">
        <f t="shared" si="133"/>
        <v>0</v>
      </c>
      <c r="BZ150" s="2">
        <f t="shared" si="133"/>
        <v>0</v>
      </c>
      <c r="CA150" s="2">
        <f t="shared" ref="CA150:DF150" si="134">CA228</f>
        <v>0</v>
      </c>
      <c r="CB150" s="2">
        <f t="shared" si="134"/>
        <v>0</v>
      </c>
      <c r="CC150" s="2">
        <f t="shared" si="134"/>
        <v>0</v>
      </c>
      <c r="CD150" s="2">
        <f t="shared" si="134"/>
        <v>0</v>
      </c>
      <c r="CE150" s="2">
        <f t="shared" si="134"/>
        <v>0</v>
      </c>
      <c r="CF150" s="2">
        <f t="shared" si="134"/>
        <v>0</v>
      </c>
      <c r="CG150" s="2">
        <f t="shared" si="134"/>
        <v>0</v>
      </c>
      <c r="CH150" s="2">
        <f t="shared" si="134"/>
        <v>0</v>
      </c>
      <c r="CI150" s="2">
        <f t="shared" si="134"/>
        <v>0</v>
      </c>
      <c r="CJ150" s="2">
        <f t="shared" si="134"/>
        <v>0</v>
      </c>
      <c r="CK150" s="2">
        <f t="shared" si="134"/>
        <v>0</v>
      </c>
      <c r="CL150" s="2">
        <f t="shared" si="134"/>
        <v>0</v>
      </c>
      <c r="CM150" s="2">
        <f t="shared" si="134"/>
        <v>0</v>
      </c>
      <c r="CN150" s="2">
        <f t="shared" si="134"/>
        <v>0</v>
      </c>
      <c r="CO150" s="2">
        <f t="shared" si="134"/>
        <v>0</v>
      </c>
      <c r="CP150" s="2">
        <f t="shared" si="134"/>
        <v>0</v>
      </c>
      <c r="CQ150" s="2">
        <f t="shared" si="134"/>
        <v>0</v>
      </c>
      <c r="CR150" s="2">
        <f t="shared" si="134"/>
        <v>0</v>
      </c>
      <c r="CS150" s="2">
        <f t="shared" si="134"/>
        <v>0</v>
      </c>
      <c r="CT150" s="2">
        <f t="shared" si="134"/>
        <v>0</v>
      </c>
      <c r="CU150" s="2">
        <f t="shared" si="134"/>
        <v>0</v>
      </c>
      <c r="CV150" s="2">
        <f t="shared" si="134"/>
        <v>0</v>
      </c>
      <c r="CW150" s="2">
        <f t="shared" si="134"/>
        <v>0</v>
      </c>
      <c r="CX150" s="2">
        <f t="shared" si="134"/>
        <v>0</v>
      </c>
      <c r="CY150" s="2">
        <f t="shared" si="134"/>
        <v>0</v>
      </c>
      <c r="CZ150" s="2">
        <f t="shared" si="134"/>
        <v>0</v>
      </c>
      <c r="DA150" s="2">
        <f t="shared" si="134"/>
        <v>0</v>
      </c>
      <c r="DB150" s="2">
        <f t="shared" si="134"/>
        <v>0</v>
      </c>
      <c r="DC150" s="2">
        <f t="shared" si="134"/>
        <v>0</v>
      </c>
      <c r="DD150" s="2">
        <f t="shared" si="134"/>
        <v>0</v>
      </c>
      <c r="DE150" s="2">
        <f t="shared" si="134"/>
        <v>0</v>
      </c>
      <c r="DF150" s="2">
        <f t="shared" si="134"/>
        <v>0</v>
      </c>
      <c r="DG150" s="3">
        <f t="shared" ref="DG150:EL150" si="135">DG228</f>
        <v>0</v>
      </c>
      <c r="DH150" s="3">
        <f t="shared" si="135"/>
        <v>0</v>
      </c>
      <c r="DI150" s="3">
        <f t="shared" si="135"/>
        <v>0</v>
      </c>
      <c r="DJ150" s="3">
        <f t="shared" si="135"/>
        <v>0</v>
      </c>
      <c r="DK150" s="3">
        <f t="shared" si="135"/>
        <v>0</v>
      </c>
      <c r="DL150" s="3">
        <f t="shared" si="135"/>
        <v>0</v>
      </c>
      <c r="DM150" s="3">
        <f t="shared" si="135"/>
        <v>0</v>
      </c>
      <c r="DN150" s="3">
        <f t="shared" si="135"/>
        <v>0</v>
      </c>
      <c r="DO150" s="3">
        <f t="shared" si="135"/>
        <v>0</v>
      </c>
      <c r="DP150" s="3">
        <f t="shared" si="135"/>
        <v>0</v>
      </c>
      <c r="DQ150" s="3">
        <f t="shared" si="135"/>
        <v>0</v>
      </c>
      <c r="DR150" s="3">
        <f t="shared" si="135"/>
        <v>0</v>
      </c>
      <c r="DS150" s="3">
        <f t="shared" si="135"/>
        <v>0</v>
      </c>
      <c r="DT150" s="3">
        <f t="shared" si="135"/>
        <v>0</v>
      </c>
      <c r="DU150" s="3">
        <f t="shared" si="135"/>
        <v>0</v>
      </c>
      <c r="DV150" s="3">
        <f t="shared" si="135"/>
        <v>0</v>
      </c>
      <c r="DW150" s="3">
        <f t="shared" si="135"/>
        <v>0</v>
      </c>
      <c r="DX150" s="3">
        <f t="shared" si="135"/>
        <v>0</v>
      </c>
      <c r="DY150" s="3">
        <f t="shared" si="135"/>
        <v>0</v>
      </c>
      <c r="DZ150" s="3">
        <f t="shared" si="135"/>
        <v>0</v>
      </c>
      <c r="EA150" s="3">
        <f t="shared" si="135"/>
        <v>0</v>
      </c>
      <c r="EB150" s="3">
        <f t="shared" si="135"/>
        <v>0</v>
      </c>
      <c r="EC150" s="3">
        <f t="shared" si="135"/>
        <v>0</v>
      </c>
      <c r="ED150" s="3">
        <f t="shared" si="135"/>
        <v>0</v>
      </c>
      <c r="EE150" s="3">
        <f t="shared" si="135"/>
        <v>0</v>
      </c>
      <c r="EF150" s="3">
        <f t="shared" si="135"/>
        <v>0</v>
      </c>
      <c r="EG150" s="3">
        <f t="shared" si="135"/>
        <v>0</v>
      </c>
      <c r="EH150" s="3">
        <f t="shared" si="135"/>
        <v>0</v>
      </c>
      <c r="EI150" s="3">
        <f t="shared" si="135"/>
        <v>0</v>
      </c>
      <c r="EJ150" s="3">
        <f t="shared" si="135"/>
        <v>0</v>
      </c>
      <c r="EK150" s="3">
        <f t="shared" si="135"/>
        <v>0</v>
      </c>
      <c r="EL150" s="3">
        <f t="shared" si="135"/>
        <v>0</v>
      </c>
      <c r="EM150" s="3">
        <f t="shared" ref="EM150:FR150" si="136">EM228</f>
        <v>0</v>
      </c>
      <c r="EN150" s="3">
        <f t="shared" si="136"/>
        <v>0</v>
      </c>
      <c r="EO150" s="3">
        <f t="shared" si="136"/>
        <v>0</v>
      </c>
      <c r="EP150" s="3">
        <f t="shared" si="136"/>
        <v>0</v>
      </c>
      <c r="EQ150" s="3">
        <f t="shared" si="136"/>
        <v>0</v>
      </c>
      <c r="ER150" s="3">
        <f t="shared" si="136"/>
        <v>0</v>
      </c>
      <c r="ES150" s="3">
        <f t="shared" si="136"/>
        <v>0</v>
      </c>
      <c r="ET150" s="3">
        <f t="shared" si="136"/>
        <v>0</v>
      </c>
      <c r="EU150" s="3">
        <f t="shared" si="136"/>
        <v>0</v>
      </c>
      <c r="EV150" s="3">
        <f t="shared" si="136"/>
        <v>0</v>
      </c>
      <c r="EW150" s="3">
        <f t="shared" si="136"/>
        <v>0</v>
      </c>
      <c r="EX150" s="3">
        <f t="shared" si="136"/>
        <v>0</v>
      </c>
      <c r="EY150" s="3">
        <f t="shared" si="136"/>
        <v>0</v>
      </c>
      <c r="EZ150" s="3">
        <f t="shared" si="136"/>
        <v>0</v>
      </c>
      <c r="FA150" s="3">
        <f t="shared" si="136"/>
        <v>0</v>
      </c>
      <c r="FB150" s="3">
        <f t="shared" si="136"/>
        <v>0</v>
      </c>
      <c r="FC150" s="3">
        <f t="shared" si="136"/>
        <v>0</v>
      </c>
      <c r="FD150" s="3">
        <f t="shared" si="136"/>
        <v>0</v>
      </c>
      <c r="FE150" s="3">
        <f t="shared" si="136"/>
        <v>0</v>
      </c>
      <c r="FF150" s="3">
        <f t="shared" si="136"/>
        <v>0</v>
      </c>
      <c r="FG150" s="3">
        <f t="shared" si="136"/>
        <v>0</v>
      </c>
      <c r="FH150" s="3">
        <f t="shared" si="136"/>
        <v>0</v>
      </c>
      <c r="FI150" s="3">
        <f t="shared" si="136"/>
        <v>0</v>
      </c>
      <c r="FJ150" s="3">
        <f t="shared" si="136"/>
        <v>0</v>
      </c>
      <c r="FK150" s="3">
        <f t="shared" si="136"/>
        <v>0</v>
      </c>
      <c r="FL150" s="3">
        <f t="shared" si="136"/>
        <v>0</v>
      </c>
      <c r="FM150" s="3">
        <f t="shared" si="136"/>
        <v>0</v>
      </c>
      <c r="FN150" s="3">
        <f t="shared" si="136"/>
        <v>0</v>
      </c>
      <c r="FO150" s="3">
        <f t="shared" si="136"/>
        <v>0</v>
      </c>
      <c r="FP150" s="3">
        <f t="shared" si="136"/>
        <v>0</v>
      </c>
      <c r="FQ150" s="3">
        <f t="shared" si="136"/>
        <v>0</v>
      </c>
      <c r="FR150" s="3">
        <f t="shared" si="136"/>
        <v>0</v>
      </c>
      <c r="FS150" s="3">
        <f t="shared" ref="FS150:GX150" si="137">FS228</f>
        <v>0</v>
      </c>
      <c r="FT150" s="3">
        <f t="shared" si="137"/>
        <v>0</v>
      </c>
      <c r="FU150" s="3">
        <f t="shared" si="137"/>
        <v>0</v>
      </c>
      <c r="FV150" s="3">
        <f t="shared" si="137"/>
        <v>0</v>
      </c>
      <c r="FW150" s="3">
        <f t="shared" si="137"/>
        <v>0</v>
      </c>
      <c r="FX150" s="3">
        <f t="shared" si="137"/>
        <v>0</v>
      </c>
      <c r="FY150" s="3">
        <f t="shared" si="137"/>
        <v>0</v>
      </c>
      <c r="FZ150" s="3">
        <f t="shared" si="137"/>
        <v>0</v>
      </c>
      <c r="GA150" s="3">
        <f t="shared" si="137"/>
        <v>0</v>
      </c>
      <c r="GB150" s="3">
        <f t="shared" si="137"/>
        <v>0</v>
      </c>
      <c r="GC150" s="3">
        <f t="shared" si="137"/>
        <v>0</v>
      </c>
      <c r="GD150" s="3">
        <f t="shared" si="137"/>
        <v>0</v>
      </c>
      <c r="GE150" s="3">
        <f t="shared" si="137"/>
        <v>0</v>
      </c>
      <c r="GF150" s="3">
        <f t="shared" si="137"/>
        <v>0</v>
      </c>
      <c r="GG150" s="3">
        <f t="shared" si="137"/>
        <v>0</v>
      </c>
      <c r="GH150" s="3">
        <f t="shared" si="137"/>
        <v>0</v>
      </c>
      <c r="GI150" s="3">
        <f t="shared" si="137"/>
        <v>0</v>
      </c>
      <c r="GJ150" s="3">
        <f t="shared" si="137"/>
        <v>0</v>
      </c>
      <c r="GK150" s="3">
        <f t="shared" si="137"/>
        <v>0</v>
      </c>
      <c r="GL150" s="3">
        <f t="shared" si="137"/>
        <v>0</v>
      </c>
      <c r="GM150" s="3">
        <f t="shared" si="137"/>
        <v>0</v>
      </c>
      <c r="GN150" s="3">
        <f t="shared" si="137"/>
        <v>0</v>
      </c>
      <c r="GO150" s="3">
        <f t="shared" si="137"/>
        <v>0</v>
      </c>
      <c r="GP150" s="3">
        <f t="shared" si="137"/>
        <v>0</v>
      </c>
      <c r="GQ150" s="3">
        <f t="shared" si="137"/>
        <v>0</v>
      </c>
      <c r="GR150" s="3">
        <f t="shared" si="137"/>
        <v>0</v>
      </c>
      <c r="GS150" s="3">
        <f t="shared" si="137"/>
        <v>0</v>
      </c>
      <c r="GT150" s="3">
        <f t="shared" si="137"/>
        <v>0</v>
      </c>
      <c r="GU150" s="3">
        <f t="shared" si="137"/>
        <v>0</v>
      </c>
      <c r="GV150" s="3">
        <f t="shared" si="137"/>
        <v>0</v>
      </c>
      <c r="GW150" s="3">
        <f t="shared" si="137"/>
        <v>0</v>
      </c>
      <c r="GX150" s="3">
        <f t="shared" si="137"/>
        <v>0</v>
      </c>
    </row>
    <row r="152" spans="1:245" x14ac:dyDescent="0.2">
      <c r="A152" s="1">
        <v>5</v>
      </c>
      <c r="B152" s="1">
        <v>1</v>
      </c>
      <c r="C152" s="1"/>
      <c r="D152" s="1">
        <f>ROW(A160)</f>
        <v>160</v>
      </c>
      <c r="E152" s="1"/>
      <c r="F152" s="1" t="s">
        <v>136</v>
      </c>
      <c r="G152" s="1" t="s">
        <v>137</v>
      </c>
      <c r="H152" s="1" t="s">
        <v>3</v>
      </c>
      <c r="I152" s="1">
        <v>0</v>
      </c>
      <c r="J152" s="1"/>
      <c r="K152" s="1">
        <v>0</v>
      </c>
      <c r="L152" s="1"/>
      <c r="M152" s="1"/>
      <c r="N152" s="1"/>
      <c r="O152" s="1"/>
      <c r="P152" s="1"/>
      <c r="Q152" s="1"/>
      <c r="R152" s="1"/>
      <c r="S152" s="1"/>
      <c r="T152" s="1"/>
      <c r="U152" s="1" t="s">
        <v>3</v>
      </c>
      <c r="V152" s="1">
        <v>0</v>
      </c>
      <c r="W152" s="1"/>
      <c r="X152" s="1"/>
      <c r="Y152" s="1"/>
      <c r="Z152" s="1"/>
      <c r="AA152" s="1"/>
      <c r="AB152" s="1" t="s">
        <v>3</v>
      </c>
      <c r="AC152" s="1" t="s">
        <v>3</v>
      </c>
      <c r="AD152" s="1" t="s">
        <v>3</v>
      </c>
      <c r="AE152" s="1" t="s">
        <v>3</v>
      </c>
      <c r="AF152" s="1" t="s">
        <v>3</v>
      </c>
      <c r="AG152" s="1" t="s">
        <v>3</v>
      </c>
      <c r="AH152" s="1"/>
      <c r="AI152" s="1"/>
      <c r="AJ152" s="1"/>
      <c r="AK152" s="1"/>
      <c r="AL152" s="1"/>
      <c r="AM152" s="1"/>
      <c r="AN152" s="1"/>
      <c r="AO152" s="1"/>
      <c r="AP152" s="1" t="s">
        <v>3</v>
      </c>
      <c r="AQ152" s="1" t="s">
        <v>3</v>
      </c>
      <c r="AR152" s="1" t="s">
        <v>3</v>
      </c>
      <c r="AS152" s="1"/>
      <c r="AT152" s="1"/>
      <c r="AU152" s="1"/>
      <c r="AV152" s="1"/>
      <c r="AW152" s="1"/>
      <c r="AX152" s="1"/>
      <c r="AY152" s="1"/>
      <c r="AZ152" s="1" t="s">
        <v>3</v>
      </c>
      <c r="BA152" s="1"/>
      <c r="BB152" s="1" t="s">
        <v>3</v>
      </c>
      <c r="BC152" s="1" t="s">
        <v>3</v>
      </c>
      <c r="BD152" s="1" t="s">
        <v>3</v>
      </c>
      <c r="BE152" s="1" t="s">
        <v>3</v>
      </c>
      <c r="BF152" s="1" t="s">
        <v>3</v>
      </c>
      <c r="BG152" s="1" t="s">
        <v>3</v>
      </c>
      <c r="BH152" s="1" t="s">
        <v>3</v>
      </c>
      <c r="BI152" s="1" t="s">
        <v>3</v>
      </c>
      <c r="BJ152" s="1" t="s">
        <v>3</v>
      </c>
      <c r="BK152" s="1" t="s">
        <v>3</v>
      </c>
      <c r="BL152" s="1" t="s">
        <v>3</v>
      </c>
      <c r="BM152" s="1" t="s">
        <v>3</v>
      </c>
      <c r="BN152" s="1" t="s">
        <v>3</v>
      </c>
      <c r="BO152" s="1" t="s">
        <v>3</v>
      </c>
      <c r="BP152" s="1" t="s">
        <v>3</v>
      </c>
      <c r="BQ152" s="1"/>
      <c r="BR152" s="1"/>
      <c r="BS152" s="1"/>
      <c r="BT152" s="1"/>
      <c r="BU152" s="1"/>
      <c r="BV152" s="1"/>
      <c r="BW152" s="1"/>
      <c r="BX152" s="1">
        <v>0</v>
      </c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>
        <v>0</v>
      </c>
    </row>
    <row r="154" spans="1:245" x14ac:dyDescent="0.2">
      <c r="A154" s="2">
        <v>52</v>
      </c>
      <c r="B154" s="2">
        <f t="shared" ref="B154:G154" si="138">B160</f>
        <v>1</v>
      </c>
      <c r="C154" s="2">
        <f t="shared" si="138"/>
        <v>5</v>
      </c>
      <c r="D154" s="2">
        <f t="shared" si="138"/>
        <v>152</v>
      </c>
      <c r="E154" s="2">
        <f t="shared" si="138"/>
        <v>0</v>
      </c>
      <c r="F154" s="2" t="str">
        <f t="shared" si="138"/>
        <v>Новый подраздел</v>
      </c>
      <c r="G154" s="2" t="str">
        <f t="shared" si="138"/>
        <v>Замена дорожного бортового камня - 70,4м.п.</v>
      </c>
      <c r="H154" s="2"/>
      <c r="I154" s="2"/>
      <c r="J154" s="2"/>
      <c r="K154" s="2"/>
      <c r="L154" s="2"/>
      <c r="M154" s="2"/>
      <c r="N154" s="2"/>
      <c r="O154" s="2">
        <f t="shared" ref="O154:AT154" si="139">O160</f>
        <v>62237.55</v>
      </c>
      <c r="P154" s="2">
        <f t="shared" si="139"/>
        <v>34260.160000000003</v>
      </c>
      <c r="Q154" s="2">
        <f t="shared" si="139"/>
        <v>19747.63</v>
      </c>
      <c r="R154" s="2">
        <f t="shared" si="139"/>
        <v>12387.23</v>
      </c>
      <c r="S154" s="2">
        <f t="shared" si="139"/>
        <v>8229.76</v>
      </c>
      <c r="T154" s="2">
        <f t="shared" si="139"/>
        <v>0</v>
      </c>
      <c r="U154" s="2">
        <f t="shared" si="139"/>
        <v>46.464000000000006</v>
      </c>
      <c r="V154" s="2">
        <f t="shared" si="139"/>
        <v>0</v>
      </c>
      <c r="W154" s="2">
        <f t="shared" si="139"/>
        <v>0</v>
      </c>
      <c r="X154" s="2">
        <f t="shared" si="139"/>
        <v>5760.83</v>
      </c>
      <c r="Y154" s="2">
        <f t="shared" si="139"/>
        <v>822.98</v>
      </c>
      <c r="Z154" s="2">
        <f t="shared" si="139"/>
        <v>0</v>
      </c>
      <c r="AA154" s="2">
        <f t="shared" si="139"/>
        <v>0</v>
      </c>
      <c r="AB154" s="2">
        <f t="shared" si="139"/>
        <v>62237.55</v>
      </c>
      <c r="AC154" s="2">
        <f t="shared" si="139"/>
        <v>34260.160000000003</v>
      </c>
      <c r="AD154" s="2">
        <f t="shared" si="139"/>
        <v>19747.63</v>
      </c>
      <c r="AE154" s="2">
        <f t="shared" si="139"/>
        <v>12387.23</v>
      </c>
      <c r="AF154" s="2">
        <f t="shared" si="139"/>
        <v>8229.76</v>
      </c>
      <c r="AG154" s="2">
        <f t="shared" si="139"/>
        <v>0</v>
      </c>
      <c r="AH154" s="2">
        <f t="shared" si="139"/>
        <v>46.464000000000006</v>
      </c>
      <c r="AI154" s="2">
        <f t="shared" si="139"/>
        <v>0</v>
      </c>
      <c r="AJ154" s="2">
        <f t="shared" si="139"/>
        <v>0</v>
      </c>
      <c r="AK154" s="2">
        <f t="shared" si="139"/>
        <v>5760.83</v>
      </c>
      <c r="AL154" s="2">
        <f t="shared" si="139"/>
        <v>822.98</v>
      </c>
      <c r="AM154" s="2">
        <f t="shared" si="139"/>
        <v>0</v>
      </c>
      <c r="AN154" s="2">
        <f t="shared" si="139"/>
        <v>0</v>
      </c>
      <c r="AO154" s="2">
        <f t="shared" si="139"/>
        <v>0</v>
      </c>
      <c r="AP154" s="2">
        <f t="shared" si="139"/>
        <v>0</v>
      </c>
      <c r="AQ154" s="2">
        <f t="shared" si="139"/>
        <v>0</v>
      </c>
      <c r="AR154" s="2">
        <f t="shared" si="139"/>
        <v>74805.83</v>
      </c>
      <c r="AS154" s="2">
        <f t="shared" si="139"/>
        <v>0</v>
      </c>
      <c r="AT154" s="2">
        <f t="shared" si="139"/>
        <v>0</v>
      </c>
      <c r="AU154" s="2">
        <f t="shared" ref="AU154:BZ154" si="140">AU160</f>
        <v>74805.83</v>
      </c>
      <c r="AV154" s="2">
        <f t="shared" si="140"/>
        <v>34260.160000000003</v>
      </c>
      <c r="AW154" s="2">
        <f t="shared" si="140"/>
        <v>34260.160000000003</v>
      </c>
      <c r="AX154" s="2">
        <f t="shared" si="140"/>
        <v>0</v>
      </c>
      <c r="AY154" s="2">
        <f t="shared" si="140"/>
        <v>34260.160000000003</v>
      </c>
      <c r="AZ154" s="2">
        <f t="shared" si="140"/>
        <v>0</v>
      </c>
      <c r="BA154" s="2">
        <f t="shared" si="140"/>
        <v>0</v>
      </c>
      <c r="BB154" s="2">
        <f t="shared" si="140"/>
        <v>0</v>
      </c>
      <c r="BC154" s="2">
        <f t="shared" si="140"/>
        <v>0</v>
      </c>
      <c r="BD154" s="2">
        <f t="shared" si="140"/>
        <v>0</v>
      </c>
      <c r="BE154" s="2">
        <f t="shared" si="140"/>
        <v>0</v>
      </c>
      <c r="BF154" s="2">
        <f t="shared" si="140"/>
        <v>0</v>
      </c>
      <c r="BG154" s="2">
        <f t="shared" si="140"/>
        <v>0</v>
      </c>
      <c r="BH154" s="2">
        <f t="shared" si="140"/>
        <v>0</v>
      </c>
      <c r="BI154" s="2">
        <f t="shared" si="140"/>
        <v>0</v>
      </c>
      <c r="BJ154" s="2">
        <f t="shared" si="140"/>
        <v>0</v>
      </c>
      <c r="BK154" s="2">
        <f t="shared" si="140"/>
        <v>0</v>
      </c>
      <c r="BL154" s="2">
        <f t="shared" si="140"/>
        <v>0</v>
      </c>
      <c r="BM154" s="2">
        <f t="shared" si="140"/>
        <v>0</v>
      </c>
      <c r="BN154" s="2">
        <f t="shared" si="140"/>
        <v>0</v>
      </c>
      <c r="BO154" s="2">
        <f t="shared" si="140"/>
        <v>0</v>
      </c>
      <c r="BP154" s="2">
        <f t="shared" si="140"/>
        <v>0</v>
      </c>
      <c r="BQ154" s="2">
        <f t="shared" si="140"/>
        <v>0</v>
      </c>
      <c r="BR154" s="2">
        <f t="shared" si="140"/>
        <v>0</v>
      </c>
      <c r="BS154" s="2">
        <f t="shared" si="140"/>
        <v>0</v>
      </c>
      <c r="BT154" s="2">
        <f t="shared" si="140"/>
        <v>0</v>
      </c>
      <c r="BU154" s="2">
        <f t="shared" si="140"/>
        <v>0</v>
      </c>
      <c r="BV154" s="2">
        <f t="shared" si="140"/>
        <v>0</v>
      </c>
      <c r="BW154" s="2">
        <f t="shared" si="140"/>
        <v>0</v>
      </c>
      <c r="BX154" s="2">
        <f t="shared" si="140"/>
        <v>0</v>
      </c>
      <c r="BY154" s="2">
        <f t="shared" si="140"/>
        <v>0</v>
      </c>
      <c r="BZ154" s="2">
        <f t="shared" si="140"/>
        <v>0</v>
      </c>
      <c r="CA154" s="2">
        <f t="shared" ref="CA154:DF154" si="141">CA160</f>
        <v>74805.83</v>
      </c>
      <c r="CB154" s="2">
        <f t="shared" si="141"/>
        <v>0</v>
      </c>
      <c r="CC154" s="2">
        <f t="shared" si="141"/>
        <v>0</v>
      </c>
      <c r="CD154" s="2">
        <f t="shared" si="141"/>
        <v>74805.83</v>
      </c>
      <c r="CE154" s="2">
        <f t="shared" si="141"/>
        <v>34260.160000000003</v>
      </c>
      <c r="CF154" s="2">
        <f t="shared" si="141"/>
        <v>34260.160000000003</v>
      </c>
      <c r="CG154" s="2">
        <f t="shared" si="141"/>
        <v>0</v>
      </c>
      <c r="CH154" s="2">
        <f t="shared" si="141"/>
        <v>34260.160000000003</v>
      </c>
      <c r="CI154" s="2">
        <f t="shared" si="141"/>
        <v>0</v>
      </c>
      <c r="CJ154" s="2">
        <f t="shared" si="141"/>
        <v>0</v>
      </c>
      <c r="CK154" s="2">
        <f t="shared" si="141"/>
        <v>0</v>
      </c>
      <c r="CL154" s="2">
        <f t="shared" si="141"/>
        <v>0</v>
      </c>
      <c r="CM154" s="2">
        <f t="shared" si="141"/>
        <v>0</v>
      </c>
      <c r="CN154" s="2">
        <f t="shared" si="141"/>
        <v>0</v>
      </c>
      <c r="CO154" s="2">
        <f t="shared" si="141"/>
        <v>0</v>
      </c>
      <c r="CP154" s="2">
        <f t="shared" si="141"/>
        <v>0</v>
      </c>
      <c r="CQ154" s="2">
        <f t="shared" si="141"/>
        <v>0</v>
      </c>
      <c r="CR154" s="2">
        <f t="shared" si="141"/>
        <v>0</v>
      </c>
      <c r="CS154" s="2">
        <f t="shared" si="141"/>
        <v>0</v>
      </c>
      <c r="CT154" s="2">
        <f t="shared" si="141"/>
        <v>0</v>
      </c>
      <c r="CU154" s="2">
        <f t="shared" si="141"/>
        <v>0</v>
      </c>
      <c r="CV154" s="2">
        <f t="shared" si="141"/>
        <v>0</v>
      </c>
      <c r="CW154" s="2">
        <f t="shared" si="141"/>
        <v>0</v>
      </c>
      <c r="CX154" s="2">
        <f t="shared" si="141"/>
        <v>0</v>
      </c>
      <c r="CY154" s="2">
        <f t="shared" si="141"/>
        <v>0</v>
      </c>
      <c r="CZ154" s="2">
        <f t="shared" si="141"/>
        <v>0</v>
      </c>
      <c r="DA154" s="2">
        <f t="shared" si="141"/>
        <v>0</v>
      </c>
      <c r="DB154" s="2">
        <f t="shared" si="141"/>
        <v>0</v>
      </c>
      <c r="DC154" s="2">
        <f t="shared" si="141"/>
        <v>0</v>
      </c>
      <c r="DD154" s="2">
        <f t="shared" si="141"/>
        <v>0</v>
      </c>
      <c r="DE154" s="2">
        <f t="shared" si="141"/>
        <v>0</v>
      </c>
      <c r="DF154" s="2">
        <f t="shared" si="141"/>
        <v>0</v>
      </c>
      <c r="DG154" s="3">
        <f t="shared" ref="DG154:EL154" si="142">DG160</f>
        <v>0</v>
      </c>
      <c r="DH154" s="3">
        <f t="shared" si="142"/>
        <v>0</v>
      </c>
      <c r="DI154" s="3">
        <f t="shared" si="142"/>
        <v>0</v>
      </c>
      <c r="DJ154" s="3">
        <f t="shared" si="142"/>
        <v>0</v>
      </c>
      <c r="DK154" s="3">
        <f t="shared" si="142"/>
        <v>0</v>
      </c>
      <c r="DL154" s="3">
        <f t="shared" si="142"/>
        <v>0</v>
      </c>
      <c r="DM154" s="3">
        <f t="shared" si="142"/>
        <v>0</v>
      </c>
      <c r="DN154" s="3">
        <f t="shared" si="142"/>
        <v>0</v>
      </c>
      <c r="DO154" s="3">
        <f t="shared" si="142"/>
        <v>0</v>
      </c>
      <c r="DP154" s="3">
        <f t="shared" si="142"/>
        <v>0</v>
      </c>
      <c r="DQ154" s="3">
        <f t="shared" si="142"/>
        <v>0</v>
      </c>
      <c r="DR154" s="3">
        <f t="shared" si="142"/>
        <v>0</v>
      </c>
      <c r="DS154" s="3">
        <f t="shared" si="142"/>
        <v>0</v>
      </c>
      <c r="DT154" s="3">
        <f t="shared" si="142"/>
        <v>0</v>
      </c>
      <c r="DU154" s="3">
        <f t="shared" si="142"/>
        <v>0</v>
      </c>
      <c r="DV154" s="3">
        <f t="shared" si="142"/>
        <v>0</v>
      </c>
      <c r="DW154" s="3">
        <f t="shared" si="142"/>
        <v>0</v>
      </c>
      <c r="DX154" s="3">
        <f t="shared" si="142"/>
        <v>0</v>
      </c>
      <c r="DY154" s="3">
        <f t="shared" si="142"/>
        <v>0</v>
      </c>
      <c r="DZ154" s="3">
        <f t="shared" si="142"/>
        <v>0</v>
      </c>
      <c r="EA154" s="3">
        <f t="shared" si="142"/>
        <v>0</v>
      </c>
      <c r="EB154" s="3">
        <f t="shared" si="142"/>
        <v>0</v>
      </c>
      <c r="EC154" s="3">
        <f t="shared" si="142"/>
        <v>0</v>
      </c>
      <c r="ED154" s="3">
        <f t="shared" si="142"/>
        <v>0</v>
      </c>
      <c r="EE154" s="3">
        <f t="shared" si="142"/>
        <v>0</v>
      </c>
      <c r="EF154" s="3">
        <f t="shared" si="142"/>
        <v>0</v>
      </c>
      <c r="EG154" s="3">
        <f t="shared" si="142"/>
        <v>0</v>
      </c>
      <c r="EH154" s="3">
        <f t="shared" si="142"/>
        <v>0</v>
      </c>
      <c r="EI154" s="3">
        <f t="shared" si="142"/>
        <v>0</v>
      </c>
      <c r="EJ154" s="3">
        <f t="shared" si="142"/>
        <v>0</v>
      </c>
      <c r="EK154" s="3">
        <f t="shared" si="142"/>
        <v>0</v>
      </c>
      <c r="EL154" s="3">
        <f t="shared" si="142"/>
        <v>0</v>
      </c>
      <c r="EM154" s="3">
        <f t="shared" ref="EM154:FR154" si="143">EM160</f>
        <v>0</v>
      </c>
      <c r="EN154" s="3">
        <f t="shared" si="143"/>
        <v>0</v>
      </c>
      <c r="EO154" s="3">
        <f t="shared" si="143"/>
        <v>0</v>
      </c>
      <c r="EP154" s="3">
        <f t="shared" si="143"/>
        <v>0</v>
      </c>
      <c r="EQ154" s="3">
        <f t="shared" si="143"/>
        <v>0</v>
      </c>
      <c r="ER154" s="3">
        <f t="shared" si="143"/>
        <v>0</v>
      </c>
      <c r="ES154" s="3">
        <f t="shared" si="143"/>
        <v>0</v>
      </c>
      <c r="ET154" s="3">
        <f t="shared" si="143"/>
        <v>0</v>
      </c>
      <c r="EU154" s="3">
        <f t="shared" si="143"/>
        <v>0</v>
      </c>
      <c r="EV154" s="3">
        <f t="shared" si="143"/>
        <v>0</v>
      </c>
      <c r="EW154" s="3">
        <f t="shared" si="143"/>
        <v>0</v>
      </c>
      <c r="EX154" s="3">
        <f t="shared" si="143"/>
        <v>0</v>
      </c>
      <c r="EY154" s="3">
        <f t="shared" si="143"/>
        <v>0</v>
      </c>
      <c r="EZ154" s="3">
        <f t="shared" si="143"/>
        <v>0</v>
      </c>
      <c r="FA154" s="3">
        <f t="shared" si="143"/>
        <v>0</v>
      </c>
      <c r="FB154" s="3">
        <f t="shared" si="143"/>
        <v>0</v>
      </c>
      <c r="FC154" s="3">
        <f t="shared" si="143"/>
        <v>0</v>
      </c>
      <c r="FD154" s="3">
        <f t="shared" si="143"/>
        <v>0</v>
      </c>
      <c r="FE154" s="3">
        <f t="shared" si="143"/>
        <v>0</v>
      </c>
      <c r="FF154" s="3">
        <f t="shared" si="143"/>
        <v>0</v>
      </c>
      <c r="FG154" s="3">
        <f t="shared" si="143"/>
        <v>0</v>
      </c>
      <c r="FH154" s="3">
        <f t="shared" si="143"/>
        <v>0</v>
      </c>
      <c r="FI154" s="3">
        <f t="shared" si="143"/>
        <v>0</v>
      </c>
      <c r="FJ154" s="3">
        <f t="shared" si="143"/>
        <v>0</v>
      </c>
      <c r="FK154" s="3">
        <f t="shared" si="143"/>
        <v>0</v>
      </c>
      <c r="FL154" s="3">
        <f t="shared" si="143"/>
        <v>0</v>
      </c>
      <c r="FM154" s="3">
        <f t="shared" si="143"/>
        <v>0</v>
      </c>
      <c r="FN154" s="3">
        <f t="shared" si="143"/>
        <v>0</v>
      </c>
      <c r="FO154" s="3">
        <f t="shared" si="143"/>
        <v>0</v>
      </c>
      <c r="FP154" s="3">
        <f t="shared" si="143"/>
        <v>0</v>
      </c>
      <c r="FQ154" s="3">
        <f t="shared" si="143"/>
        <v>0</v>
      </c>
      <c r="FR154" s="3">
        <f t="shared" si="143"/>
        <v>0</v>
      </c>
      <c r="FS154" s="3">
        <f t="shared" ref="FS154:GX154" si="144">FS160</f>
        <v>0</v>
      </c>
      <c r="FT154" s="3">
        <f t="shared" si="144"/>
        <v>0</v>
      </c>
      <c r="FU154" s="3">
        <f t="shared" si="144"/>
        <v>0</v>
      </c>
      <c r="FV154" s="3">
        <f t="shared" si="144"/>
        <v>0</v>
      </c>
      <c r="FW154" s="3">
        <f t="shared" si="144"/>
        <v>0</v>
      </c>
      <c r="FX154" s="3">
        <f t="shared" si="144"/>
        <v>0</v>
      </c>
      <c r="FY154" s="3">
        <f t="shared" si="144"/>
        <v>0</v>
      </c>
      <c r="FZ154" s="3">
        <f t="shared" si="144"/>
        <v>0</v>
      </c>
      <c r="GA154" s="3">
        <f t="shared" si="144"/>
        <v>0</v>
      </c>
      <c r="GB154" s="3">
        <f t="shared" si="144"/>
        <v>0</v>
      </c>
      <c r="GC154" s="3">
        <f t="shared" si="144"/>
        <v>0</v>
      </c>
      <c r="GD154" s="3">
        <f t="shared" si="144"/>
        <v>0</v>
      </c>
      <c r="GE154" s="3">
        <f t="shared" si="144"/>
        <v>0</v>
      </c>
      <c r="GF154" s="3">
        <f t="shared" si="144"/>
        <v>0</v>
      </c>
      <c r="GG154" s="3">
        <f t="shared" si="144"/>
        <v>0</v>
      </c>
      <c r="GH154" s="3">
        <f t="shared" si="144"/>
        <v>0</v>
      </c>
      <c r="GI154" s="3">
        <f t="shared" si="144"/>
        <v>0</v>
      </c>
      <c r="GJ154" s="3">
        <f t="shared" si="144"/>
        <v>0</v>
      </c>
      <c r="GK154" s="3">
        <f t="shared" si="144"/>
        <v>0</v>
      </c>
      <c r="GL154" s="3">
        <f t="shared" si="144"/>
        <v>0</v>
      </c>
      <c r="GM154" s="3">
        <f t="shared" si="144"/>
        <v>0</v>
      </c>
      <c r="GN154" s="3">
        <f t="shared" si="144"/>
        <v>0</v>
      </c>
      <c r="GO154" s="3">
        <f t="shared" si="144"/>
        <v>0</v>
      </c>
      <c r="GP154" s="3">
        <f t="shared" si="144"/>
        <v>0</v>
      </c>
      <c r="GQ154" s="3">
        <f t="shared" si="144"/>
        <v>0</v>
      </c>
      <c r="GR154" s="3">
        <f t="shared" si="144"/>
        <v>0</v>
      </c>
      <c r="GS154" s="3">
        <f t="shared" si="144"/>
        <v>0</v>
      </c>
      <c r="GT154" s="3">
        <f t="shared" si="144"/>
        <v>0</v>
      </c>
      <c r="GU154" s="3">
        <f t="shared" si="144"/>
        <v>0</v>
      </c>
      <c r="GV154" s="3">
        <f t="shared" si="144"/>
        <v>0</v>
      </c>
      <c r="GW154" s="3">
        <f t="shared" si="144"/>
        <v>0</v>
      </c>
      <c r="GX154" s="3">
        <f t="shared" si="144"/>
        <v>0</v>
      </c>
    </row>
    <row r="156" spans="1:245" x14ac:dyDescent="0.2">
      <c r="A156">
        <v>17</v>
      </c>
      <c r="B156">
        <v>1</v>
      </c>
      <c r="C156">
        <f>ROW(SmtRes!A101)</f>
        <v>101</v>
      </c>
      <c r="D156">
        <f>ROW(EtalonRes!A101)</f>
        <v>101</v>
      </c>
      <c r="E156" t="s">
        <v>138</v>
      </c>
      <c r="F156" t="s">
        <v>139</v>
      </c>
      <c r="G156" t="s">
        <v>140</v>
      </c>
      <c r="H156" t="s">
        <v>141</v>
      </c>
      <c r="I156">
        <f>ROUND(70.4,9)</f>
        <v>70.400000000000006</v>
      </c>
      <c r="J156">
        <v>0</v>
      </c>
      <c r="O156">
        <f>ROUND(CP156,2)</f>
        <v>53123.14</v>
      </c>
      <c r="P156">
        <f>ROUND(CQ156*I156,2)</f>
        <v>34260.160000000003</v>
      </c>
      <c r="Q156">
        <f>ROUND(CR156*I156,2)</f>
        <v>10633.22</v>
      </c>
      <c r="R156">
        <f>ROUND(CS156*I156,2)</f>
        <v>5541.18</v>
      </c>
      <c r="S156">
        <f>ROUND(CT156*I156,2)</f>
        <v>8229.76</v>
      </c>
      <c r="T156">
        <f>ROUND(CU156*I156,2)</f>
        <v>0</v>
      </c>
      <c r="U156">
        <f>CV156*I156</f>
        <v>46.464000000000006</v>
      </c>
      <c r="V156">
        <f>CW156*I156</f>
        <v>0</v>
      </c>
      <c r="W156">
        <f>ROUND(CX156*I156,2)</f>
        <v>0</v>
      </c>
      <c r="X156">
        <f t="shared" ref="X156:Y158" si="145">ROUND(CY156,2)</f>
        <v>5760.83</v>
      </c>
      <c r="Y156">
        <f t="shared" si="145"/>
        <v>822.98</v>
      </c>
      <c r="AA156">
        <v>37598633</v>
      </c>
      <c r="AB156">
        <f>ROUND((AC156+AD156+AF156),6)</f>
        <v>754.59</v>
      </c>
      <c r="AC156">
        <f>ROUND((ES156),6)</f>
        <v>486.65</v>
      </c>
      <c r="AD156">
        <f>ROUND((((ET156)-(EU156))+AE156),6)</f>
        <v>151.04</v>
      </c>
      <c r="AE156">
        <f>ROUND((EU156),6)</f>
        <v>78.709999999999994</v>
      </c>
      <c r="AF156">
        <f>ROUND((EV156),6)</f>
        <v>116.9</v>
      </c>
      <c r="AG156">
        <f>ROUND((AP156),6)</f>
        <v>0</v>
      </c>
      <c r="AH156">
        <f>(EW156)</f>
        <v>0.66</v>
      </c>
      <c r="AI156">
        <f>(EX156)</f>
        <v>0</v>
      </c>
      <c r="AJ156">
        <f>ROUND((AS156),6)</f>
        <v>0</v>
      </c>
      <c r="AK156">
        <v>754.59</v>
      </c>
      <c r="AL156">
        <v>486.65</v>
      </c>
      <c r="AM156">
        <v>151.04</v>
      </c>
      <c r="AN156">
        <v>78.709999999999994</v>
      </c>
      <c r="AO156">
        <v>116.9</v>
      </c>
      <c r="AP156">
        <v>0</v>
      </c>
      <c r="AQ156">
        <v>0.66</v>
      </c>
      <c r="AR156">
        <v>0</v>
      </c>
      <c r="AS156">
        <v>0</v>
      </c>
      <c r="AT156">
        <v>70</v>
      </c>
      <c r="AU156">
        <v>10</v>
      </c>
      <c r="AV156">
        <v>1</v>
      </c>
      <c r="AW156">
        <v>1</v>
      </c>
      <c r="AZ156">
        <v>1</v>
      </c>
      <c r="BA156">
        <v>1</v>
      </c>
      <c r="BB156">
        <v>1</v>
      </c>
      <c r="BC156">
        <v>1</v>
      </c>
      <c r="BD156" t="s">
        <v>3</v>
      </c>
      <c r="BE156" t="s">
        <v>3</v>
      </c>
      <c r="BF156" t="s">
        <v>3</v>
      </c>
      <c r="BG156" t="s">
        <v>3</v>
      </c>
      <c r="BH156">
        <v>0</v>
      </c>
      <c r="BI156">
        <v>4</v>
      </c>
      <c r="BJ156" t="s">
        <v>142</v>
      </c>
      <c r="BM156">
        <v>0</v>
      </c>
      <c r="BN156">
        <v>0</v>
      </c>
      <c r="BO156" t="s">
        <v>3</v>
      </c>
      <c r="BP156">
        <v>0</v>
      </c>
      <c r="BQ156">
        <v>1</v>
      </c>
      <c r="BR156">
        <v>0</v>
      </c>
      <c r="BS156">
        <v>1</v>
      </c>
      <c r="BT156">
        <v>1</v>
      </c>
      <c r="BU156">
        <v>1</v>
      </c>
      <c r="BV156">
        <v>1</v>
      </c>
      <c r="BW156">
        <v>1</v>
      </c>
      <c r="BX156">
        <v>1</v>
      </c>
      <c r="BY156" t="s">
        <v>3</v>
      </c>
      <c r="BZ156">
        <v>70</v>
      </c>
      <c r="CA156">
        <v>10</v>
      </c>
      <c r="CF156">
        <v>0</v>
      </c>
      <c r="CG156">
        <v>0</v>
      </c>
      <c r="CM156">
        <v>0</v>
      </c>
      <c r="CN156" t="s">
        <v>3</v>
      </c>
      <c r="CO156">
        <v>0</v>
      </c>
      <c r="CP156">
        <f>(P156+Q156+S156)</f>
        <v>53123.140000000007</v>
      </c>
      <c r="CQ156">
        <f>(AC156*BC156*AW156)</f>
        <v>486.65</v>
      </c>
      <c r="CR156">
        <f>((((ET156)*BB156-(EU156)*BS156)+AE156*BS156)*AV156)</f>
        <v>151.04</v>
      </c>
      <c r="CS156">
        <f>(AE156*BS156*AV156)</f>
        <v>78.709999999999994</v>
      </c>
      <c r="CT156">
        <f>(AF156*BA156*AV156)</f>
        <v>116.9</v>
      </c>
      <c r="CU156">
        <f>AG156</f>
        <v>0</v>
      </c>
      <c r="CV156">
        <f>(AH156*AV156)</f>
        <v>0.66</v>
      </c>
      <c r="CW156">
        <f t="shared" ref="CW156:CX158" si="146">AI156</f>
        <v>0</v>
      </c>
      <c r="CX156">
        <f t="shared" si="146"/>
        <v>0</v>
      </c>
      <c r="CY156">
        <f>((S156*BZ156)/100)</f>
        <v>5760.8320000000003</v>
      </c>
      <c r="CZ156">
        <f>((S156*CA156)/100)</f>
        <v>822.97600000000011</v>
      </c>
      <c r="DC156" t="s">
        <v>3</v>
      </c>
      <c r="DD156" t="s">
        <v>3</v>
      </c>
      <c r="DE156" t="s">
        <v>3</v>
      </c>
      <c r="DF156" t="s">
        <v>3</v>
      </c>
      <c r="DG156" t="s">
        <v>3</v>
      </c>
      <c r="DH156" t="s">
        <v>3</v>
      </c>
      <c r="DI156" t="s">
        <v>3</v>
      </c>
      <c r="DJ156" t="s">
        <v>3</v>
      </c>
      <c r="DK156" t="s">
        <v>3</v>
      </c>
      <c r="DL156" t="s">
        <v>3</v>
      </c>
      <c r="DM156" t="s">
        <v>3</v>
      </c>
      <c r="DN156">
        <v>0</v>
      </c>
      <c r="DO156">
        <v>0</v>
      </c>
      <c r="DP156">
        <v>1</v>
      </c>
      <c r="DQ156">
        <v>1</v>
      </c>
      <c r="DU156">
        <v>1003</v>
      </c>
      <c r="DV156" t="s">
        <v>141</v>
      </c>
      <c r="DW156" t="s">
        <v>141</v>
      </c>
      <c r="DX156">
        <v>1</v>
      </c>
      <c r="EE156">
        <v>34176748</v>
      </c>
      <c r="EF156">
        <v>1</v>
      </c>
      <c r="EG156" t="s">
        <v>19</v>
      </c>
      <c r="EH156">
        <v>0</v>
      </c>
      <c r="EI156" t="s">
        <v>3</v>
      </c>
      <c r="EJ156">
        <v>4</v>
      </c>
      <c r="EK156">
        <v>0</v>
      </c>
      <c r="EL156" t="s">
        <v>20</v>
      </c>
      <c r="EM156" t="s">
        <v>21</v>
      </c>
      <c r="EO156" t="s">
        <v>3</v>
      </c>
      <c r="EQ156">
        <v>0</v>
      </c>
      <c r="ER156">
        <v>754.59</v>
      </c>
      <c r="ES156">
        <v>486.65</v>
      </c>
      <c r="ET156">
        <v>151.04</v>
      </c>
      <c r="EU156">
        <v>78.709999999999994</v>
      </c>
      <c r="EV156">
        <v>116.9</v>
      </c>
      <c r="EW156">
        <v>0.66</v>
      </c>
      <c r="EX156">
        <v>0</v>
      </c>
      <c r="EY156">
        <v>0</v>
      </c>
      <c r="FQ156">
        <v>0</v>
      </c>
      <c r="FR156">
        <f>ROUND(IF(AND(BH156=3,BI156=3),P156,0),2)</f>
        <v>0</v>
      </c>
      <c r="FS156">
        <v>0</v>
      </c>
      <c r="FX156">
        <v>70</v>
      </c>
      <c r="FY156">
        <v>10</v>
      </c>
      <c r="GA156" t="s">
        <v>3</v>
      </c>
      <c r="GD156">
        <v>0</v>
      </c>
      <c r="GF156">
        <v>465755860</v>
      </c>
      <c r="GG156">
        <v>2</v>
      </c>
      <c r="GH156">
        <v>1</v>
      </c>
      <c r="GI156">
        <v>-2</v>
      </c>
      <c r="GJ156">
        <v>0</v>
      </c>
      <c r="GK156">
        <f>ROUND(R156*(R12)/100,2)</f>
        <v>5984.47</v>
      </c>
      <c r="GL156">
        <f>ROUND(IF(AND(BH156=3,BI156=3,FS156&lt;&gt;0),P156,0),2)</f>
        <v>0</v>
      </c>
      <c r="GM156">
        <f>ROUND(O156+X156+Y156+GK156,2)+GX156</f>
        <v>65691.42</v>
      </c>
      <c r="GN156">
        <f>IF(OR(BI156=0,BI156=1),ROUND(O156+X156+Y156+GK156,2),0)</f>
        <v>0</v>
      </c>
      <c r="GO156">
        <f>IF(BI156=2,ROUND(O156+X156+Y156+GK156,2),0)</f>
        <v>0</v>
      </c>
      <c r="GP156">
        <f>IF(BI156=4,ROUND(O156+X156+Y156+GK156,2)+GX156,0)</f>
        <v>65691.42</v>
      </c>
      <c r="GR156">
        <v>0</v>
      </c>
      <c r="GS156">
        <v>3</v>
      </c>
      <c r="GT156">
        <v>0</v>
      </c>
      <c r="GU156" t="s">
        <v>3</v>
      </c>
      <c r="GV156">
        <f>ROUND(GT156,6)</f>
        <v>0</v>
      </c>
      <c r="GW156">
        <v>1</v>
      </c>
      <c r="GX156">
        <f>ROUND(GV156*GW156*I156,2)</f>
        <v>0</v>
      </c>
      <c r="HA156">
        <v>0</v>
      </c>
      <c r="HB156">
        <v>0</v>
      </c>
      <c r="IK156">
        <v>0</v>
      </c>
    </row>
    <row r="157" spans="1:245" x14ac:dyDescent="0.2">
      <c r="A157">
        <v>17</v>
      </c>
      <c r="B157">
        <v>1</v>
      </c>
      <c r="C157">
        <f>ROW(SmtRes!A103)</f>
        <v>103</v>
      </c>
      <c r="D157">
        <f>ROW(EtalonRes!A103)</f>
        <v>103</v>
      </c>
      <c r="E157" t="s">
        <v>143</v>
      </c>
      <c r="F157" t="s">
        <v>32</v>
      </c>
      <c r="G157" t="s">
        <v>33</v>
      </c>
      <c r="H157" t="s">
        <v>29</v>
      </c>
      <c r="I157">
        <v>11.224500000000001</v>
      </c>
      <c r="J157">
        <v>0</v>
      </c>
      <c r="O157">
        <f>ROUND(CP157,2)</f>
        <v>712.87</v>
      </c>
      <c r="P157">
        <f>ROUND(CQ157*I157,2)</f>
        <v>0</v>
      </c>
      <c r="Q157">
        <f>ROUND(CR157*I157,2)</f>
        <v>712.87</v>
      </c>
      <c r="R157">
        <f>ROUND(CS157*I157,2)</f>
        <v>535.07000000000005</v>
      </c>
      <c r="S157">
        <f>ROUND(CT157*I157,2)</f>
        <v>0</v>
      </c>
      <c r="T157">
        <f>ROUND(CU157*I157,2)</f>
        <v>0</v>
      </c>
      <c r="U157">
        <f>CV157*I157</f>
        <v>0</v>
      </c>
      <c r="V157">
        <f>CW157*I157</f>
        <v>0</v>
      </c>
      <c r="W157">
        <f>ROUND(CX157*I157,2)</f>
        <v>0</v>
      </c>
      <c r="X157">
        <f t="shared" si="145"/>
        <v>0</v>
      </c>
      <c r="Y157">
        <f t="shared" si="145"/>
        <v>0</v>
      </c>
      <c r="AA157">
        <v>37598633</v>
      </c>
      <c r="AB157">
        <f>ROUND((AC157+AD157+AF157),6)</f>
        <v>63.51</v>
      </c>
      <c r="AC157">
        <f>ROUND((ES157),6)</f>
        <v>0</v>
      </c>
      <c r="AD157">
        <f>ROUND((((ET157)-(EU157))+AE157),6)</f>
        <v>63.51</v>
      </c>
      <c r="AE157">
        <f>ROUND((EU157),6)</f>
        <v>47.67</v>
      </c>
      <c r="AF157">
        <f>ROUND((EV157),6)</f>
        <v>0</v>
      </c>
      <c r="AG157">
        <f>ROUND((AP157),6)</f>
        <v>0</v>
      </c>
      <c r="AH157">
        <f>(EW157)</f>
        <v>0</v>
      </c>
      <c r="AI157">
        <f>(EX157)</f>
        <v>0</v>
      </c>
      <c r="AJ157">
        <f>ROUND((AS157),6)</f>
        <v>0</v>
      </c>
      <c r="AK157">
        <v>63.51</v>
      </c>
      <c r="AL157">
        <v>0</v>
      </c>
      <c r="AM157">
        <v>63.51</v>
      </c>
      <c r="AN157">
        <v>47.67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1</v>
      </c>
      <c r="AW157">
        <v>1</v>
      </c>
      <c r="AZ157">
        <v>1</v>
      </c>
      <c r="BA157">
        <v>1</v>
      </c>
      <c r="BB157">
        <v>1</v>
      </c>
      <c r="BC157">
        <v>1</v>
      </c>
      <c r="BD157" t="s">
        <v>3</v>
      </c>
      <c r="BE157" t="s">
        <v>3</v>
      </c>
      <c r="BF157" t="s">
        <v>3</v>
      </c>
      <c r="BG157" t="s">
        <v>3</v>
      </c>
      <c r="BH157">
        <v>0</v>
      </c>
      <c r="BI157">
        <v>4</v>
      </c>
      <c r="BJ157" t="s">
        <v>34</v>
      </c>
      <c r="BM157">
        <v>1</v>
      </c>
      <c r="BN157">
        <v>0</v>
      </c>
      <c r="BO157" t="s">
        <v>3</v>
      </c>
      <c r="BP157">
        <v>0</v>
      </c>
      <c r="BQ157">
        <v>1</v>
      </c>
      <c r="BR157">
        <v>0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 t="s">
        <v>3</v>
      </c>
      <c r="BZ157">
        <v>0</v>
      </c>
      <c r="CA157">
        <v>0</v>
      </c>
      <c r="CF157">
        <v>0</v>
      </c>
      <c r="CG157">
        <v>0</v>
      </c>
      <c r="CM157">
        <v>0</v>
      </c>
      <c r="CN157" t="s">
        <v>3</v>
      </c>
      <c r="CO157">
        <v>0</v>
      </c>
      <c r="CP157">
        <f>(P157+Q157+S157)</f>
        <v>712.87</v>
      </c>
      <c r="CQ157">
        <f>(AC157*BC157*AW157)</f>
        <v>0</v>
      </c>
      <c r="CR157">
        <f>((((ET157)*BB157-(EU157)*BS157)+AE157*BS157)*AV157)</f>
        <v>63.51</v>
      </c>
      <c r="CS157">
        <f>(AE157*BS157*AV157)</f>
        <v>47.67</v>
      </c>
      <c r="CT157">
        <f>(AF157*BA157*AV157)</f>
        <v>0</v>
      </c>
      <c r="CU157">
        <f>AG157</f>
        <v>0</v>
      </c>
      <c r="CV157">
        <f>(AH157*AV157)</f>
        <v>0</v>
      </c>
      <c r="CW157">
        <f t="shared" si="146"/>
        <v>0</v>
      </c>
      <c r="CX157">
        <f t="shared" si="146"/>
        <v>0</v>
      </c>
      <c r="CY157">
        <f>((S157*BZ157)/100)</f>
        <v>0</v>
      </c>
      <c r="CZ157">
        <f>((S157*CA157)/100)</f>
        <v>0</v>
      </c>
      <c r="DC157" t="s">
        <v>3</v>
      </c>
      <c r="DD157" t="s">
        <v>3</v>
      </c>
      <c r="DE157" t="s">
        <v>3</v>
      </c>
      <c r="DF157" t="s">
        <v>3</v>
      </c>
      <c r="DG157" t="s">
        <v>3</v>
      </c>
      <c r="DH157" t="s">
        <v>3</v>
      </c>
      <c r="DI157" t="s">
        <v>3</v>
      </c>
      <c r="DJ157" t="s">
        <v>3</v>
      </c>
      <c r="DK157" t="s">
        <v>3</v>
      </c>
      <c r="DL157" t="s">
        <v>3</v>
      </c>
      <c r="DM157" t="s">
        <v>3</v>
      </c>
      <c r="DN157">
        <v>0</v>
      </c>
      <c r="DO157">
        <v>0</v>
      </c>
      <c r="DP157">
        <v>1</v>
      </c>
      <c r="DQ157">
        <v>1</v>
      </c>
      <c r="DU157">
        <v>1009</v>
      </c>
      <c r="DV157" t="s">
        <v>29</v>
      </c>
      <c r="DW157" t="s">
        <v>29</v>
      </c>
      <c r="DX157">
        <v>1000</v>
      </c>
      <c r="EE157">
        <v>34176750</v>
      </c>
      <c r="EF157">
        <v>1</v>
      </c>
      <c r="EG157" t="s">
        <v>19</v>
      </c>
      <c r="EH157">
        <v>0</v>
      </c>
      <c r="EI157" t="s">
        <v>3</v>
      </c>
      <c r="EJ157">
        <v>4</v>
      </c>
      <c r="EK157">
        <v>1</v>
      </c>
      <c r="EL157" t="s">
        <v>35</v>
      </c>
      <c r="EM157" t="s">
        <v>21</v>
      </c>
      <c r="EO157" t="s">
        <v>3</v>
      </c>
      <c r="EQ157">
        <v>0</v>
      </c>
      <c r="ER157">
        <v>63.51</v>
      </c>
      <c r="ES157">
        <v>0</v>
      </c>
      <c r="ET157">
        <v>63.51</v>
      </c>
      <c r="EU157">
        <v>47.67</v>
      </c>
      <c r="EV157">
        <v>0</v>
      </c>
      <c r="EW157">
        <v>0</v>
      </c>
      <c r="EX157">
        <v>0</v>
      </c>
      <c r="EY157">
        <v>0</v>
      </c>
      <c r="FQ157">
        <v>0</v>
      </c>
      <c r="FR157">
        <f>ROUND(IF(AND(BH157=3,BI157=3),P157,0),2)</f>
        <v>0</v>
      </c>
      <c r="FS157">
        <v>0</v>
      </c>
      <c r="FX157">
        <v>0</v>
      </c>
      <c r="FY157">
        <v>0</v>
      </c>
      <c r="GA157" t="s">
        <v>3</v>
      </c>
      <c r="GD157">
        <v>1</v>
      </c>
      <c r="GF157">
        <v>-1761436808</v>
      </c>
      <c r="GG157">
        <v>2</v>
      </c>
      <c r="GH157">
        <v>1</v>
      </c>
      <c r="GI157">
        <v>-2</v>
      </c>
      <c r="GJ157">
        <v>0</v>
      </c>
      <c r="GK157">
        <v>0</v>
      </c>
      <c r="GL157">
        <f>ROUND(IF(AND(BH157=3,BI157=3,FS157&lt;&gt;0),P157,0),2)</f>
        <v>0</v>
      </c>
      <c r="GM157">
        <f>ROUND(O157+X157+Y157,2)+GX157</f>
        <v>712.87</v>
      </c>
      <c r="GN157">
        <f>IF(OR(BI157=0,BI157=1),ROUND(O157+X157+Y157,2),0)</f>
        <v>0</v>
      </c>
      <c r="GO157">
        <f>IF(BI157=2,ROUND(O157+X157+Y157,2),0)</f>
        <v>0</v>
      </c>
      <c r="GP157">
        <f>IF(BI157=4,ROUND(O157+X157+Y157,2)+GX157,0)</f>
        <v>712.87</v>
      </c>
      <c r="GR157">
        <v>0</v>
      </c>
      <c r="GS157">
        <v>3</v>
      </c>
      <c r="GT157">
        <v>0</v>
      </c>
      <c r="GU157" t="s">
        <v>3</v>
      </c>
      <c r="GV157">
        <f>ROUND(GT157,6)</f>
        <v>0</v>
      </c>
      <c r="GW157">
        <v>1</v>
      </c>
      <c r="GX157">
        <f>ROUND(GV157*GW157*I157,2)</f>
        <v>0</v>
      </c>
      <c r="HA157">
        <v>0</v>
      </c>
      <c r="HB157">
        <v>0</v>
      </c>
      <c r="IK157">
        <v>0</v>
      </c>
    </row>
    <row r="158" spans="1:245" x14ac:dyDescent="0.2">
      <c r="A158">
        <v>17</v>
      </c>
      <c r="B158">
        <v>1</v>
      </c>
      <c r="C158">
        <f>ROW(SmtRes!A105)</f>
        <v>105</v>
      </c>
      <c r="D158">
        <f>ROW(EtalonRes!A105)</f>
        <v>105</v>
      </c>
      <c r="E158" t="s">
        <v>144</v>
      </c>
      <c r="F158" t="s">
        <v>37</v>
      </c>
      <c r="G158" t="s">
        <v>38</v>
      </c>
      <c r="H158" t="s">
        <v>29</v>
      </c>
      <c r="I158">
        <f>ROUND(I157,9)</f>
        <v>11.224500000000001</v>
      </c>
      <c r="J158">
        <v>0</v>
      </c>
      <c r="O158">
        <f>ROUND(CP158,2)</f>
        <v>8401.5400000000009</v>
      </c>
      <c r="P158">
        <f>ROUND(CQ158*I158,2)</f>
        <v>0</v>
      </c>
      <c r="Q158">
        <f>ROUND(CR158*I158,2)</f>
        <v>8401.5400000000009</v>
      </c>
      <c r="R158">
        <f>ROUND(CS158*I158,2)</f>
        <v>6310.98</v>
      </c>
      <c r="S158">
        <f>ROUND(CT158*I158,2)</f>
        <v>0</v>
      </c>
      <c r="T158">
        <f>ROUND(CU158*I158,2)</f>
        <v>0</v>
      </c>
      <c r="U158">
        <f>CV158*I158</f>
        <v>0</v>
      </c>
      <c r="V158">
        <f>CW158*I158</f>
        <v>0</v>
      </c>
      <c r="W158">
        <f>ROUND(CX158*I158,2)</f>
        <v>0</v>
      </c>
      <c r="X158">
        <f t="shared" si="145"/>
        <v>0</v>
      </c>
      <c r="Y158">
        <f t="shared" si="145"/>
        <v>0</v>
      </c>
      <c r="AA158">
        <v>37598633</v>
      </c>
      <c r="AB158">
        <f>ROUND((AC158+AD158+AF158),6)</f>
        <v>748.5</v>
      </c>
      <c r="AC158">
        <f>ROUND((ES158),6)</f>
        <v>0</v>
      </c>
      <c r="AD158">
        <f>ROUND(((((ET158*25))-((EU158*25)))+AE158),6)</f>
        <v>748.5</v>
      </c>
      <c r="AE158">
        <f>ROUND(((EU158*25)),6)</f>
        <v>562.25</v>
      </c>
      <c r="AF158">
        <f>ROUND(((EV158*25)),6)</f>
        <v>0</v>
      </c>
      <c r="AG158">
        <f>ROUND((AP158),6)</f>
        <v>0</v>
      </c>
      <c r="AH158">
        <f>((EW158*25))</f>
        <v>0</v>
      </c>
      <c r="AI158">
        <f>((EX158*25))</f>
        <v>0</v>
      </c>
      <c r="AJ158">
        <f>ROUND((AS158),6)</f>
        <v>0</v>
      </c>
      <c r="AK158">
        <v>29.94</v>
      </c>
      <c r="AL158">
        <v>0</v>
      </c>
      <c r="AM158">
        <v>29.94</v>
      </c>
      <c r="AN158">
        <v>22.49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1</v>
      </c>
      <c r="AW158">
        <v>1</v>
      </c>
      <c r="AZ158">
        <v>1</v>
      </c>
      <c r="BA158">
        <v>1</v>
      </c>
      <c r="BB158">
        <v>1</v>
      </c>
      <c r="BC158">
        <v>1</v>
      </c>
      <c r="BD158" t="s">
        <v>3</v>
      </c>
      <c r="BE158" t="s">
        <v>3</v>
      </c>
      <c r="BF158" t="s">
        <v>3</v>
      </c>
      <c r="BG158" t="s">
        <v>3</v>
      </c>
      <c r="BH158">
        <v>0</v>
      </c>
      <c r="BI158">
        <v>4</v>
      </c>
      <c r="BJ158" t="s">
        <v>39</v>
      </c>
      <c r="BM158">
        <v>1</v>
      </c>
      <c r="BN158">
        <v>0</v>
      </c>
      <c r="BO158" t="s">
        <v>3</v>
      </c>
      <c r="BP158">
        <v>0</v>
      </c>
      <c r="BQ158">
        <v>1</v>
      </c>
      <c r="BR158">
        <v>0</v>
      </c>
      <c r="BS158">
        <v>1</v>
      </c>
      <c r="BT158">
        <v>1</v>
      </c>
      <c r="BU158">
        <v>1</v>
      </c>
      <c r="BV158">
        <v>1</v>
      </c>
      <c r="BW158">
        <v>1</v>
      </c>
      <c r="BX158">
        <v>1</v>
      </c>
      <c r="BY158" t="s">
        <v>3</v>
      </c>
      <c r="BZ158">
        <v>0</v>
      </c>
      <c r="CA158">
        <v>0</v>
      </c>
      <c r="CF158">
        <v>0</v>
      </c>
      <c r="CG158">
        <v>0</v>
      </c>
      <c r="CM158">
        <v>0</v>
      </c>
      <c r="CN158" t="s">
        <v>3</v>
      </c>
      <c r="CO158">
        <v>0</v>
      </c>
      <c r="CP158">
        <f>(P158+Q158+S158)</f>
        <v>8401.5400000000009</v>
      </c>
      <c r="CQ158">
        <f>(AC158*BC158*AW158)</f>
        <v>0</v>
      </c>
      <c r="CR158">
        <f>(((((ET158*25))*BB158-((EU158*25))*BS158)+AE158*BS158)*AV158)</f>
        <v>748.5</v>
      </c>
      <c r="CS158">
        <f>(AE158*BS158*AV158)</f>
        <v>562.25</v>
      </c>
      <c r="CT158">
        <f>(AF158*BA158*AV158)</f>
        <v>0</v>
      </c>
      <c r="CU158">
        <f>AG158</f>
        <v>0</v>
      </c>
      <c r="CV158">
        <f>(AH158*AV158)</f>
        <v>0</v>
      </c>
      <c r="CW158">
        <f t="shared" si="146"/>
        <v>0</v>
      </c>
      <c r="CX158">
        <f t="shared" si="146"/>
        <v>0</v>
      </c>
      <c r="CY158">
        <f>((S158*BZ158)/100)</f>
        <v>0</v>
      </c>
      <c r="CZ158">
        <f>((S158*CA158)/100)</f>
        <v>0</v>
      </c>
      <c r="DC158" t="s">
        <v>3</v>
      </c>
      <c r="DD158" t="s">
        <v>3</v>
      </c>
      <c r="DE158" t="s">
        <v>40</v>
      </c>
      <c r="DF158" t="s">
        <v>40</v>
      </c>
      <c r="DG158" t="s">
        <v>40</v>
      </c>
      <c r="DH158" t="s">
        <v>3</v>
      </c>
      <c r="DI158" t="s">
        <v>40</v>
      </c>
      <c r="DJ158" t="s">
        <v>40</v>
      </c>
      <c r="DK158" t="s">
        <v>3</v>
      </c>
      <c r="DL158" t="s">
        <v>3</v>
      </c>
      <c r="DM158" t="s">
        <v>3</v>
      </c>
      <c r="DN158">
        <v>0</v>
      </c>
      <c r="DO158">
        <v>0</v>
      </c>
      <c r="DP158">
        <v>1</v>
      </c>
      <c r="DQ158">
        <v>1</v>
      </c>
      <c r="DU158">
        <v>1009</v>
      </c>
      <c r="DV158" t="s">
        <v>29</v>
      </c>
      <c r="DW158" t="s">
        <v>29</v>
      </c>
      <c r="DX158">
        <v>1000</v>
      </c>
      <c r="EE158">
        <v>34176750</v>
      </c>
      <c r="EF158">
        <v>1</v>
      </c>
      <c r="EG158" t="s">
        <v>19</v>
      </c>
      <c r="EH158">
        <v>0</v>
      </c>
      <c r="EI158" t="s">
        <v>3</v>
      </c>
      <c r="EJ158">
        <v>4</v>
      </c>
      <c r="EK158">
        <v>1</v>
      </c>
      <c r="EL158" t="s">
        <v>35</v>
      </c>
      <c r="EM158" t="s">
        <v>21</v>
      </c>
      <c r="EO158" t="s">
        <v>3</v>
      </c>
      <c r="EQ158">
        <v>0</v>
      </c>
      <c r="ER158">
        <v>29.94</v>
      </c>
      <c r="ES158">
        <v>0</v>
      </c>
      <c r="ET158">
        <v>29.94</v>
      </c>
      <c r="EU158">
        <v>22.49</v>
      </c>
      <c r="EV158">
        <v>0</v>
      </c>
      <c r="EW158">
        <v>0</v>
      </c>
      <c r="EX158">
        <v>0</v>
      </c>
      <c r="EY158">
        <v>0</v>
      </c>
      <c r="FQ158">
        <v>0</v>
      </c>
      <c r="FR158">
        <f>ROUND(IF(AND(BH158=3,BI158=3),P158,0),2)</f>
        <v>0</v>
      </c>
      <c r="FS158">
        <v>0</v>
      </c>
      <c r="FX158">
        <v>0</v>
      </c>
      <c r="FY158">
        <v>0</v>
      </c>
      <c r="GA158" t="s">
        <v>3</v>
      </c>
      <c r="GD158">
        <v>1</v>
      </c>
      <c r="GF158">
        <v>-254906126</v>
      </c>
      <c r="GG158">
        <v>2</v>
      </c>
      <c r="GH158">
        <v>1</v>
      </c>
      <c r="GI158">
        <v>-2</v>
      </c>
      <c r="GJ158">
        <v>0</v>
      </c>
      <c r="GK158">
        <v>0</v>
      </c>
      <c r="GL158">
        <f>ROUND(IF(AND(BH158=3,BI158=3,FS158&lt;&gt;0),P158,0),2)</f>
        <v>0</v>
      </c>
      <c r="GM158">
        <f>ROUND(O158+X158+Y158,2)+GX158</f>
        <v>8401.5400000000009</v>
      </c>
      <c r="GN158">
        <f>IF(OR(BI158=0,BI158=1),ROUND(O158+X158+Y158,2),0)</f>
        <v>0</v>
      </c>
      <c r="GO158">
        <f>IF(BI158=2,ROUND(O158+X158+Y158,2),0)</f>
        <v>0</v>
      </c>
      <c r="GP158">
        <f>IF(BI158=4,ROUND(O158+X158+Y158,2)+GX158,0)</f>
        <v>8401.5400000000009</v>
      </c>
      <c r="GR158">
        <v>0</v>
      </c>
      <c r="GS158">
        <v>3</v>
      </c>
      <c r="GT158">
        <v>0</v>
      </c>
      <c r="GU158" t="s">
        <v>3</v>
      </c>
      <c r="GV158">
        <f>ROUND(GT158,6)</f>
        <v>0</v>
      </c>
      <c r="GW158">
        <v>1</v>
      </c>
      <c r="GX158">
        <f>ROUND(GV158*GW158*I158,2)</f>
        <v>0</v>
      </c>
      <c r="HA158">
        <v>0</v>
      </c>
      <c r="HB158">
        <v>0</v>
      </c>
      <c r="IK158">
        <v>0</v>
      </c>
    </row>
    <row r="160" spans="1:245" x14ac:dyDescent="0.2">
      <c r="A160" s="2">
        <v>51</v>
      </c>
      <c r="B160" s="2">
        <f>B152</f>
        <v>1</v>
      </c>
      <c r="C160" s="2">
        <f>A152</f>
        <v>5</v>
      </c>
      <c r="D160" s="2">
        <f>ROW(A152)</f>
        <v>152</v>
      </c>
      <c r="E160" s="2"/>
      <c r="F160" s="2" t="str">
        <f>IF(F152&lt;&gt;"",F152,"")</f>
        <v>Новый подраздел</v>
      </c>
      <c r="G160" s="2" t="str">
        <f>IF(G152&lt;&gt;"",G152,"")</f>
        <v>Замена дорожного бортового камня - 70,4м.п.</v>
      </c>
      <c r="H160" s="2">
        <v>0</v>
      </c>
      <c r="I160" s="2"/>
      <c r="J160" s="2"/>
      <c r="K160" s="2"/>
      <c r="L160" s="2"/>
      <c r="M160" s="2"/>
      <c r="N160" s="2"/>
      <c r="O160" s="2">
        <f t="shared" ref="O160:T160" si="147">ROUND(AB160,2)</f>
        <v>62237.55</v>
      </c>
      <c r="P160" s="2">
        <f t="shared" si="147"/>
        <v>34260.160000000003</v>
      </c>
      <c r="Q160" s="2">
        <f t="shared" si="147"/>
        <v>19747.63</v>
      </c>
      <c r="R160" s="2">
        <f t="shared" si="147"/>
        <v>12387.23</v>
      </c>
      <c r="S160" s="2">
        <f t="shared" si="147"/>
        <v>8229.76</v>
      </c>
      <c r="T160" s="2">
        <f t="shared" si="147"/>
        <v>0</v>
      </c>
      <c r="U160" s="2">
        <f>AH160</f>
        <v>46.464000000000006</v>
      </c>
      <c r="V160" s="2">
        <f>AI160</f>
        <v>0</v>
      </c>
      <c r="W160" s="2">
        <f>ROUND(AJ160,2)</f>
        <v>0</v>
      </c>
      <c r="X160" s="2">
        <f>ROUND(AK160,2)</f>
        <v>5760.83</v>
      </c>
      <c r="Y160" s="2">
        <f>ROUND(AL160,2)</f>
        <v>822.98</v>
      </c>
      <c r="Z160" s="2"/>
      <c r="AA160" s="2"/>
      <c r="AB160" s="2">
        <f>ROUND(SUMIF(AA156:AA158,"=37598633",O156:O158),2)</f>
        <v>62237.55</v>
      </c>
      <c r="AC160" s="2">
        <f>ROUND(SUMIF(AA156:AA158,"=37598633",P156:P158),2)</f>
        <v>34260.160000000003</v>
      </c>
      <c r="AD160" s="2">
        <f>ROUND(SUMIF(AA156:AA158,"=37598633",Q156:Q158),2)</f>
        <v>19747.63</v>
      </c>
      <c r="AE160" s="2">
        <f>ROUND(SUMIF(AA156:AA158,"=37598633",R156:R158),2)</f>
        <v>12387.23</v>
      </c>
      <c r="AF160" s="2">
        <f>ROUND(SUMIF(AA156:AA158,"=37598633",S156:S158),2)</f>
        <v>8229.76</v>
      </c>
      <c r="AG160" s="2">
        <f>ROUND(SUMIF(AA156:AA158,"=37598633",T156:T158),2)</f>
        <v>0</v>
      </c>
      <c r="AH160" s="2">
        <f>SUMIF(AA156:AA158,"=37598633",U156:U158)</f>
        <v>46.464000000000006</v>
      </c>
      <c r="AI160" s="2">
        <f>SUMIF(AA156:AA158,"=37598633",V156:V158)</f>
        <v>0</v>
      </c>
      <c r="AJ160" s="2">
        <f>ROUND(SUMIF(AA156:AA158,"=37598633",W156:W158),2)</f>
        <v>0</v>
      </c>
      <c r="AK160" s="2">
        <f>ROUND(SUMIF(AA156:AA158,"=37598633",X156:X158),2)</f>
        <v>5760.83</v>
      </c>
      <c r="AL160" s="2">
        <f>ROUND(SUMIF(AA156:AA158,"=37598633",Y156:Y158),2)</f>
        <v>822.98</v>
      </c>
      <c r="AM160" s="2"/>
      <c r="AN160" s="2"/>
      <c r="AO160" s="2">
        <f t="shared" ref="AO160:BC160" si="148">ROUND(BX160,2)</f>
        <v>0</v>
      </c>
      <c r="AP160" s="2">
        <f t="shared" si="148"/>
        <v>0</v>
      </c>
      <c r="AQ160" s="2">
        <f t="shared" si="148"/>
        <v>0</v>
      </c>
      <c r="AR160" s="2">
        <f t="shared" si="148"/>
        <v>74805.83</v>
      </c>
      <c r="AS160" s="2">
        <f t="shared" si="148"/>
        <v>0</v>
      </c>
      <c r="AT160" s="2">
        <f t="shared" si="148"/>
        <v>0</v>
      </c>
      <c r="AU160" s="2">
        <f t="shared" si="148"/>
        <v>74805.83</v>
      </c>
      <c r="AV160" s="2">
        <f t="shared" si="148"/>
        <v>34260.160000000003</v>
      </c>
      <c r="AW160" s="2">
        <f t="shared" si="148"/>
        <v>34260.160000000003</v>
      </c>
      <c r="AX160" s="2">
        <f t="shared" si="148"/>
        <v>0</v>
      </c>
      <c r="AY160" s="2">
        <f t="shared" si="148"/>
        <v>34260.160000000003</v>
      </c>
      <c r="AZ160" s="2">
        <f t="shared" si="148"/>
        <v>0</v>
      </c>
      <c r="BA160" s="2">
        <f t="shared" si="148"/>
        <v>0</v>
      </c>
      <c r="BB160" s="2">
        <f t="shared" si="148"/>
        <v>0</v>
      </c>
      <c r="BC160" s="2">
        <f t="shared" si="148"/>
        <v>0</v>
      </c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>
        <f>ROUND(SUMIF(AA156:AA158,"=37598633",FQ156:FQ158),2)</f>
        <v>0</v>
      </c>
      <c r="BY160" s="2">
        <f>ROUND(SUMIF(AA156:AA158,"=37598633",FR156:FR158),2)</f>
        <v>0</v>
      </c>
      <c r="BZ160" s="2">
        <f>ROUND(SUMIF(AA156:AA158,"=37598633",GL156:GL158),2)</f>
        <v>0</v>
      </c>
      <c r="CA160" s="2">
        <f>ROUND(SUMIF(AA156:AA158,"=37598633",GM156:GM158),2)</f>
        <v>74805.83</v>
      </c>
      <c r="CB160" s="2">
        <f>ROUND(SUMIF(AA156:AA158,"=37598633",GN156:GN158),2)</f>
        <v>0</v>
      </c>
      <c r="CC160" s="2">
        <f>ROUND(SUMIF(AA156:AA158,"=37598633",GO156:GO158),2)</f>
        <v>0</v>
      </c>
      <c r="CD160" s="2">
        <f>ROUND(SUMIF(AA156:AA158,"=37598633",GP156:GP158),2)</f>
        <v>74805.83</v>
      </c>
      <c r="CE160" s="2">
        <f>AC160-BX160</f>
        <v>34260.160000000003</v>
      </c>
      <c r="CF160" s="2">
        <f>AC160-BY160</f>
        <v>34260.160000000003</v>
      </c>
      <c r="CG160" s="2">
        <f>BX160-BZ160</f>
        <v>0</v>
      </c>
      <c r="CH160" s="2">
        <f>AC160-BX160-BY160+BZ160</f>
        <v>34260.160000000003</v>
      </c>
      <c r="CI160" s="2">
        <f>BY160-BZ160</f>
        <v>0</v>
      </c>
      <c r="CJ160" s="2">
        <f>ROUND(SUMIF(AA156:AA158,"=37598633",GX156:GX158),2)</f>
        <v>0</v>
      </c>
      <c r="CK160" s="2">
        <f>ROUND(SUMIF(AA156:AA158,"=37598633",GY156:GY158),2)</f>
        <v>0</v>
      </c>
      <c r="CL160" s="2">
        <f>ROUND(SUMIF(AA156:AA158,"=37598633",GZ156:GZ158),2)</f>
        <v>0</v>
      </c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>
        <v>0</v>
      </c>
    </row>
    <row r="162" spans="1:23" x14ac:dyDescent="0.2">
      <c r="A162" s="4">
        <v>50</v>
      </c>
      <c r="B162" s="4">
        <v>0</v>
      </c>
      <c r="C162" s="4">
        <v>0</v>
      </c>
      <c r="D162" s="4">
        <v>1</v>
      </c>
      <c r="E162" s="4">
        <v>201</v>
      </c>
      <c r="F162" s="4">
        <f>ROUND(Source!O160,O162)</f>
        <v>62237.55</v>
      </c>
      <c r="G162" s="4" t="s">
        <v>55</v>
      </c>
      <c r="H162" s="4" t="s">
        <v>56</v>
      </c>
      <c r="I162" s="4"/>
      <c r="J162" s="4"/>
      <c r="K162" s="4">
        <v>-201</v>
      </c>
      <c r="L162" s="4">
        <v>1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/>
    </row>
    <row r="163" spans="1:23" x14ac:dyDescent="0.2">
      <c r="A163" s="4">
        <v>50</v>
      </c>
      <c r="B163" s="4">
        <v>0</v>
      </c>
      <c r="C163" s="4">
        <v>0</v>
      </c>
      <c r="D163" s="4">
        <v>1</v>
      </c>
      <c r="E163" s="4">
        <v>202</v>
      </c>
      <c r="F163" s="4">
        <f>ROUND(Source!P160,O163)</f>
        <v>34260.160000000003</v>
      </c>
      <c r="G163" s="4" t="s">
        <v>57</v>
      </c>
      <c r="H163" s="4" t="s">
        <v>58</v>
      </c>
      <c r="I163" s="4"/>
      <c r="J163" s="4"/>
      <c r="K163" s="4">
        <v>-202</v>
      </c>
      <c r="L163" s="4">
        <v>2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/>
    </row>
    <row r="164" spans="1:23" x14ac:dyDescent="0.2">
      <c r="A164" s="4">
        <v>50</v>
      </c>
      <c r="B164" s="4">
        <v>0</v>
      </c>
      <c r="C164" s="4">
        <v>0</v>
      </c>
      <c r="D164" s="4">
        <v>1</v>
      </c>
      <c r="E164" s="4">
        <v>222</v>
      </c>
      <c r="F164" s="4">
        <f>ROUND(Source!AO160,O164)</f>
        <v>0</v>
      </c>
      <c r="G164" s="4" t="s">
        <v>59</v>
      </c>
      <c r="H164" s="4" t="s">
        <v>60</v>
      </c>
      <c r="I164" s="4"/>
      <c r="J164" s="4"/>
      <c r="K164" s="4">
        <v>-222</v>
      </c>
      <c r="L164" s="4">
        <v>3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/>
    </row>
    <row r="165" spans="1:23" x14ac:dyDescent="0.2">
      <c r="A165" s="4">
        <v>50</v>
      </c>
      <c r="B165" s="4">
        <v>0</v>
      </c>
      <c r="C165" s="4">
        <v>0</v>
      </c>
      <c r="D165" s="4">
        <v>1</v>
      </c>
      <c r="E165" s="4">
        <v>225</v>
      </c>
      <c r="F165" s="4">
        <f>ROUND(Source!AV160,O165)</f>
        <v>34260.160000000003</v>
      </c>
      <c r="G165" s="4" t="s">
        <v>61</v>
      </c>
      <c r="H165" s="4" t="s">
        <v>62</v>
      </c>
      <c r="I165" s="4"/>
      <c r="J165" s="4"/>
      <c r="K165" s="4">
        <v>-225</v>
      </c>
      <c r="L165" s="4">
        <v>4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/>
    </row>
    <row r="166" spans="1:23" x14ac:dyDescent="0.2">
      <c r="A166" s="4">
        <v>50</v>
      </c>
      <c r="B166" s="4">
        <v>0</v>
      </c>
      <c r="C166" s="4">
        <v>0</v>
      </c>
      <c r="D166" s="4">
        <v>1</v>
      </c>
      <c r="E166" s="4">
        <v>226</v>
      </c>
      <c r="F166" s="4">
        <f>ROUND(Source!AW160,O166)</f>
        <v>34260.160000000003</v>
      </c>
      <c r="G166" s="4" t="s">
        <v>63</v>
      </c>
      <c r="H166" s="4" t="s">
        <v>64</v>
      </c>
      <c r="I166" s="4"/>
      <c r="J166" s="4"/>
      <c r="K166" s="4">
        <v>-226</v>
      </c>
      <c r="L166" s="4">
        <v>5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/>
    </row>
    <row r="167" spans="1:23" x14ac:dyDescent="0.2">
      <c r="A167" s="4">
        <v>50</v>
      </c>
      <c r="B167" s="4">
        <v>0</v>
      </c>
      <c r="C167" s="4">
        <v>0</v>
      </c>
      <c r="D167" s="4">
        <v>1</v>
      </c>
      <c r="E167" s="4">
        <v>227</v>
      </c>
      <c r="F167" s="4">
        <f>ROUND(Source!AX160,O167)</f>
        <v>0</v>
      </c>
      <c r="G167" s="4" t="s">
        <v>65</v>
      </c>
      <c r="H167" s="4" t="s">
        <v>66</v>
      </c>
      <c r="I167" s="4"/>
      <c r="J167" s="4"/>
      <c r="K167" s="4">
        <v>-227</v>
      </c>
      <c r="L167" s="4">
        <v>6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/>
    </row>
    <row r="168" spans="1:23" x14ac:dyDescent="0.2">
      <c r="A168" s="4">
        <v>50</v>
      </c>
      <c r="B168" s="4">
        <v>0</v>
      </c>
      <c r="C168" s="4">
        <v>0</v>
      </c>
      <c r="D168" s="4">
        <v>1</v>
      </c>
      <c r="E168" s="4">
        <v>228</v>
      </c>
      <c r="F168" s="4">
        <f>ROUND(Source!AY160,O168)</f>
        <v>34260.160000000003</v>
      </c>
      <c r="G168" s="4" t="s">
        <v>67</v>
      </c>
      <c r="H168" s="4" t="s">
        <v>68</v>
      </c>
      <c r="I168" s="4"/>
      <c r="J168" s="4"/>
      <c r="K168" s="4">
        <v>-228</v>
      </c>
      <c r="L168" s="4">
        <v>7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/>
    </row>
    <row r="169" spans="1:23" x14ac:dyDescent="0.2">
      <c r="A169" s="4">
        <v>50</v>
      </c>
      <c r="B169" s="4">
        <v>0</v>
      </c>
      <c r="C169" s="4">
        <v>0</v>
      </c>
      <c r="D169" s="4">
        <v>1</v>
      </c>
      <c r="E169" s="4">
        <v>216</v>
      </c>
      <c r="F169" s="4">
        <f>ROUND(Source!AP160,O169)</f>
        <v>0</v>
      </c>
      <c r="G169" s="4" t="s">
        <v>69</v>
      </c>
      <c r="H169" s="4" t="s">
        <v>70</v>
      </c>
      <c r="I169" s="4"/>
      <c r="J169" s="4"/>
      <c r="K169" s="4">
        <v>-216</v>
      </c>
      <c r="L169" s="4">
        <v>8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3" x14ac:dyDescent="0.2">
      <c r="A170" s="4">
        <v>50</v>
      </c>
      <c r="B170" s="4">
        <v>0</v>
      </c>
      <c r="C170" s="4">
        <v>0</v>
      </c>
      <c r="D170" s="4">
        <v>1</v>
      </c>
      <c r="E170" s="4">
        <v>223</v>
      </c>
      <c r="F170" s="4">
        <f>ROUND(Source!AQ160,O170)</f>
        <v>0</v>
      </c>
      <c r="G170" s="4" t="s">
        <v>71</v>
      </c>
      <c r="H170" s="4" t="s">
        <v>72</v>
      </c>
      <c r="I170" s="4"/>
      <c r="J170" s="4"/>
      <c r="K170" s="4">
        <v>-223</v>
      </c>
      <c r="L170" s="4">
        <v>9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3" x14ac:dyDescent="0.2">
      <c r="A171" s="4">
        <v>50</v>
      </c>
      <c r="B171" s="4">
        <v>0</v>
      </c>
      <c r="C171" s="4">
        <v>0</v>
      </c>
      <c r="D171" s="4">
        <v>1</v>
      </c>
      <c r="E171" s="4">
        <v>229</v>
      </c>
      <c r="F171" s="4">
        <f>ROUND(Source!AZ160,O171)</f>
        <v>0</v>
      </c>
      <c r="G171" s="4" t="s">
        <v>73</v>
      </c>
      <c r="H171" s="4" t="s">
        <v>74</v>
      </c>
      <c r="I171" s="4"/>
      <c r="J171" s="4"/>
      <c r="K171" s="4">
        <v>-229</v>
      </c>
      <c r="L171" s="4">
        <v>10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3" x14ac:dyDescent="0.2">
      <c r="A172" s="4">
        <v>50</v>
      </c>
      <c r="B172" s="4">
        <v>0</v>
      </c>
      <c r="C172" s="4">
        <v>0</v>
      </c>
      <c r="D172" s="4">
        <v>1</v>
      </c>
      <c r="E172" s="4">
        <v>203</v>
      </c>
      <c r="F172" s="4">
        <f>ROUND(Source!Q160,O172)</f>
        <v>19747.63</v>
      </c>
      <c r="G172" s="4" t="s">
        <v>75</v>
      </c>
      <c r="H172" s="4" t="s">
        <v>76</v>
      </c>
      <c r="I172" s="4"/>
      <c r="J172" s="4"/>
      <c r="K172" s="4">
        <v>-203</v>
      </c>
      <c r="L172" s="4">
        <v>11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3" spans="1:23" x14ac:dyDescent="0.2">
      <c r="A173" s="4">
        <v>50</v>
      </c>
      <c r="B173" s="4">
        <v>0</v>
      </c>
      <c r="C173" s="4">
        <v>0</v>
      </c>
      <c r="D173" s="4">
        <v>1</v>
      </c>
      <c r="E173" s="4">
        <v>231</v>
      </c>
      <c r="F173" s="4">
        <f>ROUND(Source!BB160,O173)</f>
        <v>0</v>
      </c>
      <c r="G173" s="4" t="s">
        <v>77</v>
      </c>
      <c r="H173" s="4" t="s">
        <v>78</v>
      </c>
      <c r="I173" s="4"/>
      <c r="J173" s="4"/>
      <c r="K173" s="4">
        <v>-231</v>
      </c>
      <c r="L173" s="4">
        <v>12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/>
    </row>
    <row r="174" spans="1:23" x14ac:dyDescent="0.2">
      <c r="A174" s="4">
        <v>50</v>
      </c>
      <c r="B174" s="4">
        <v>0</v>
      </c>
      <c r="C174" s="4">
        <v>0</v>
      </c>
      <c r="D174" s="4">
        <v>1</v>
      </c>
      <c r="E174" s="4">
        <v>204</v>
      </c>
      <c r="F174" s="4">
        <f>ROUND(Source!R160,O174)</f>
        <v>12387.23</v>
      </c>
      <c r="G174" s="4" t="s">
        <v>79</v>
      </c>
      <c r="H174" s="4" t="s">
        <v>80</v>
      </c>
      <c r="I174" s="4"/>
      <c r="J174" s="4"/>
      <c r="K174" s="4">
        <v>-204</v>
      </c>
      <c r="L174" s="4">
        <v>13</v>
      </c>
      <c r="M174" s="4">
        <v>3</v>
      </c>
      <c r="N174" s="4" t="s">
        <v>3</v>
      </c>
      <c r="O174" s="4">
        <v>2</v>
      </c>
      <c r="P174" s="4"/>
      <c r="Q174" s="4"/>
      <c r="R174" s="4"/>
      <c r="S174" s="4"/>
      <c r="T174" s="4"/>
      <c r="U174" s="4"/>
      <c r="V174" s="4"/>
      <c r="W174" s="4"/>
    </row>
    <row r="175" spans="1:23" x14ac:dyDescent="0.2">
      <c r="A175" s="4">
        <v>50</v>
      </c>
      <c r="B175" s="4">
        <v>0</v>
      </c>
      <c r="C175" s="4">
        <v>0</v>
      </c>
      <c r="D175" s="4">
        <v>1</v>
      </c>
      <c r="E175" s="4">
        <v>205</v>
      </c>
      <c r="F175" s="4">
        <f>ROUND(Source!S160,O175)</f>
        <v>8229.76</v>
      </c>
      <c r="G175" s="4" t="s">
        <v>81</v>
      </c>
      <c r="H175" s="4" t="s">
        <v>82</v>
      </c>
      <c r="I175" s="4"/>
      <c r="J175" s="4"/>
      <c r="K175" s="4">
        <v>-205</v>
      </c>
      <c r="L175" s="4">
        <v>14</v>
      </c>
      <c r="M175" s="4">
        <v>3</v>
      </c>
      <c r="N175" s="4" t="s">
        <v>3</v>
      </c>
      <c r="O175" s="4">
        <v>2</v>
      </c>
      <c r="P175" s="4"/>
      <c r="Q175" s="4"/>
      <c r="R175" s="4"/>
      <c r="S175" s="4"/>
      <c r="T175" s="4"/>
      <c r="U175" s="4"/>
      <c r="V175" s="4"/>
      <c r="W175" s="4"/>
    </row>
    <row r="176" spans="1:23" x14ac:dyDescent="0.2">
      <c r="A176" s="4">
        <v>50</v>
      </c>
      <c r="B176" s="4">
        <v>0</v>
      </c>
      <c r="C176" s="4">
        <v>0</v>
      </c>
      <c r="D176" s="4">
        <v>1</v>
      </c>
      <c r="E176" s="4">
        <v>232</v>
      </c>
      <c r="F176" s="4">
        <f>ROUND(Source!BC160,O176)</f>
        <v>0</v>
      </c>
      <c r="G176" s="4" t="s">
        <v>83</v>
      </c>
      <c r="H176" s="4" t="s">
        <v>84</v>
      </c>
      <c r="I176" s="4"/>
      <c r="J176" s="4"/>
      <c r="K176" s="4">
        <v>-232</v>
      </c>
      <c r="L176" s="4">
        <v>15</v>
      </c>
      <c r="M176" s="4">
        <v>3</v>
      </c>
      <c r="N176" s="4" t="s">
        <v>3</v>
      </c>
      <c r="O176" s="4">
        <v>2</v>
      </c>
      <c r="P176" s="4"/>
      <c r="Q176" s="4"/>
      <c r="R176" s="4"/>
      <c r="S176" s="4"/>
      <c r="T176" s="4"/>
      <c r="U176" s="4"/>
      <c r="V176" s="4"/>
      <c r="W176" s="4"/>
    </row>
    <row r="177" spans="1:206" x14ac:dyDescent="0.2">
      <c r="A177" s="4">
        <v>50</v>
      </c>
      <c r="B177" s="4">
        <v>0</v>
      </c>
      <c r="C177" s="4">
        <v>0</v>
      </c>
      <c r="D177" s="4">
        <v>1</v>
      </c>
      <c r="E177" s="4">
        <v>214</v>
      </c>
      <c r="F177" s="4">
        <f>ROUND(Source!AS160,O177)</f>
        <v>0</v>
      </c>
      <c r="G177" s="4" t="s">
        <v>85</v>
      </c>
      <c r="H177" s="4" t="s">
        <v>86</v>
      </c>
      <c r="I177" s="4"/>
      <c r="J177" s="4"/>
      <c r="K177" s="4">
        <v>-214</v>
      </c>
      <c r="L177" s="4">
        <v>16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/>
    </row>
    <row r="178" spans="1:206" x14ac:dyDescent="0.2">
      <c r="A178" s="4">
        <v>50</v>
      </c>
      <c r="B178" s="4">
        <v>0</v>
      </c>
      <c r="C178" s="4">
        <v>0</v>
      </c>
      <c r="D178" s="4">
        <v>1</v>
      </c>
      <c r="E178" s="4">
        <v>215</v>
      </c>
      <c r="F178" s="4">
        <f>ROUND(Source!AT160,O178)</f>
        <v>0</v>
      </c>
      <c r="G178" s="4" t="s">
        <v>87</v>
      </c>
      <c r="H178" s="4" t="s">
        <v>88</v>
      </c>
      <c r="I178" s="4"/>
      <c r="J178" s="4"/>
      <c r="K178" s="4">
        <v>-215</v>
      </c>
      <c r="L178" s="4">
        <v>17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/>
    </row>
    <row r="179" spans="1:206" x14ac:dyDescent="0.2">
      <c r="A179" s="4">
        <v>50</v>
      </c>
      <c r="B179" s="4">
        <v>0</v>
      </c>
      <c r="C179" s="4">
        <v>0</v>
      </c>
      <c r="D179" s="4">
        <v>1</v>
      </c>
      <c r="E179" s="4">
        <v>217</v>
      </c>
      <c r="F179" s="4">
        <f>ROUND(Source!AU160,O179)</f>
        <v>74805.83</v>
      </c>
      <c r="G179" s="4" t="s">
        <v>89</v>
      </c>
      <c r="H179" s="4" t="s">
        <v>90</v>
      </c>
      <c r="I179" s="4"/>
      <c r="J179" s="4"/>
      <c r="K179" s="4">
        <v>-217</v>
      </c>
      <c r="L179" s="4">
        <v>18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/>
    </row>
    <row r="180" spans="1:206" x14ac:dyDescent="0.2">
      <c r="A180" s="4">
        <v>50</v>
      </c>
      <c r="B180" s="4">
        <v>0</v>
      </c>
      <c r="C180" s="4">
        <v>0</v>
      </c>
      <c r="D180" s="4">
        <v>1</v>
      </c>
      <c r="E180" s="4">
        <v>230</v>
      </c>
      <c r="F180" s="4">
        <f>ROUND(Source!BA160,O180)</f>
        <v>0</v>
      </c>
      <c r="G180" s="4" t="s">
        <v>91</v>
      </c>
      <c r="H180" s="4" t="s">
        <v>92</v>
      </c>
      <c r="I180" s="4"/>
      <c r="J180" s="4"/>
      <c r="K180" s="4">
        <v>-230</v>
      </c>
      <c r="L180" s="4">
        <v>19</v>
      </c>
      <c r="M180" s="4">
        <v>3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/>
    </row>
    <row r="181" spans="1:206" x14ac:dyDescent="0.2">
      <c r="A181" s="4">
        <v>50</v>
      </c>
      <c r="B181" s="4">
        <v>0</v>
      </c>
      <c r="C181" s="4">
        <v>0</v>
      </c>
      <c r="D181" s="4">
        <v>1</v>
      </c>
      <c r="E181" s="4">
        <v>206</v>
      </c>
      <c r="F181" s="4">
        <f>ROUND(Source!T160,O181)</f>
        <v>0</v>
      </c>
      <c r="G181" s="4" t="s">
        <v>93</v>
      </c>
      <c r="H181" s="4" t="s">
        <v>94</v>
      </c>
      <c r="I181" s="4"/>
      <c r="J181" s="4"/>
      <c r="K181" s="4">
        <v>-206</v>
      </c>
      <c r="L181" s="4">
        <v>20</v>
      </c>
      <c r="M181" s="4">
        <v>3</v>
      </c>
      <c r="N181" s="4" t="s">
        <v>3</v>
      </c>
      <c r="O181" s="4">
        <v>2</v>
      </c>
      <c r="P181" s="4"/>
      <c r="Q181" s="4"/>
      <c r="R181" s="4"/>
      <c r="S181" s="4"/>
      <c r="T181" s="4"/>
      <c r="U181" s="4"/>
      <c r="V181" s="4"/>
      <c r="W181" s="4"/>
    </row>
    <row r="182" spans="1:206" x14ac:dyDescent="0.2">
      <c r="A182" s="4">
        <v>50</v>
      </c>
      <c r="B182" s="4">
        <v>0</v>
      </c>
      <c r="C182" s="4">
        <v>0</v>
      </c>
      <c r="D182" s="4">
        <v>1</v>
      </c>
      <c r="E182" s="4">
        <v>207</v>
      </c>
      <c r="F182" s="4">
        <f>Source!U160</f>
        <v>46.464000000000006</v>
      </c>
      <c r="G182" s="4" t="s">
        <v>95</v>
      </c>
      <c r="H182" s="4" t="s">
        <v>96</v>
      </c>
      <c r="I182" s="4"/>
      <c r="J182" s="4"/>
      <c r="K182" s="4">
        <v>-207</v>
      </c>
      <c r="L182" s="4">
        <v>21</v>
      </c>
      <c r="M182" s="4">
        <v>3</v>
      </c>
      <c r="N182" s="4" t="s">
        <v>3</v>
      </c>
      <c r="O182" s="4">
        <v>-1</v>
      </c>
      <c r="P182" s="4"/>
      <c r="Q182" s="4"/>
      <c r="R182" s="4"/>
      <c r="S182" s="4"/>
      <c r="T182" s="4"/>
      <c r="U182" s="4"/>
      <c r="V182" s="4"/>
      <c r="W182" s="4"/>
    </row>
    <row r="183" spans="1:206" x14ac:dyDescent="0.2">
      <c r="A183" s="4">
        <v>50</v>
      </c>
      <c r="B183" s="4">
        <v>0</v>
      </c>
      <c r="C183" s="4">
        <v>0</v>
      </c>
      <c r="D183" s="4">
        <v>1</v>
      </c>
      <c r="E183" s="4">
        <v>208</v>
      </c>
      <c r="F183" s="4">
        <f>Source!V160</f>
        <v>0</v>
      </c>
      <c r="G183" s="4" t="s">
        <v>97</v>
      </c>
      <c r="H183" s="4" t="s">
        <v>98</v>
      </c>
      <c r="I183" s="4"/>
      <c r="J183" s="4"/>
      <c r="K183" s="4">
        <v>-208</v>
      </c>
      <c r="L183" s="4">
        <v>22</v>
      </c>
      <c r="M183" s="4">
        <v>3</v>
      </c>
      <c r="N183" s="4" t="s">
        <v>3</v>
      </c>
      <c r="O183" s="4">
        <v>-1</v>
      </c>
      <c r="P183" s="4"/>
      <c r="Q183" s="4"/>
      <c r="R183" s="4"/>
      <c r="S183" s="4"/>
      <c r="T183" s="4"/>
      <c r="U183" s="4"/>
      <c r="V183" s="4"/>
      <c r="W183" s="4"/>
    </row>
    <row r="184" spans="1:206" x14ac:dyDescent="0.2">
      <c r="A184" s="4">
        <v>50</v>
      </c>
      <c r="B184" s="4">
        <v>0</v>
      </c>
      <c r="C184" s="4">
        <v>0</v>
      </c>
      <c r="D184" s="4">
        <v>1</v>
      </c>
      <c r="E184" s="4">
        <v>209</v>
      </c>
      <c r="F184" s="4">
        <f>ROUND(Source!W160,O184)</f>
        <v>0</v>
      </c>
      <c r="G184" s="4" t="s">
        <v>99</v>
      </c>
      <c r="H184" s="4" t="s">
        <v>100</v>
      </c>
      <c r="I184" s="4"/>
      <c r="J184" s="4"/>
      <c r="K184" s="4">
        <v>-209</v>
      </c>
      <c r="L184" s="4">
        <v>23</v>
      </c>
      <c r="M184" s="4">
        <v>3</v>
      </c>
      <c r="N184" s="4" t="s">
        <v>3</v>
      </c>
      <c r="O184" s="4">
        <v>2</v>
      </c>
      <c r="P184" s="4"/>
      <c r="Q184" s="4"/>
      <c r="R184" s="4"/>
      <c r="S184" s="4"/>
      <c r="T184" s="4"/>
      <c r="U184" s="4"/>
      <c r="V184" s="4"/>
      <c r="W184" s="4"/>
    </row>
    <row r="185" spans="1:206" x14ac:dyDescent="0.2">
      <c r="A185" s="4">
        <v>50</v>
      </c>
      <c r="B185" s="4">
        <v>0</v>
      </c>
      <c r="C185" s="4">
        <v>0</v>
      </c>
      <c r="D185" s="4">
        <v>1</v>
      </c>
      <c r="E185" s="4">
        <v>210</v>
      </c>
      <c r="F185" s="4">
        <f>ROUND(Source!X160,O185)</f>
        <v>5760.83</v>
      </c>
      <c r="G185" s="4" t="s">
        <v>101</v>
      </c>
      <c r="H185" s="4" t="s">
        <v>102</v>
      </c>
      <c r="I185" s="4"/>
      <c r="J185" s="4"/>
      <c r="K185" s="4">
        <v>-210</v>
      </c>
      <c r="L185" s="4">
        <v>24</v>
      </c>
      <c r="M185" s="4">
        <v>3</v>
      </c>
      <c r="N185" s="4" t="s">
        <v>3</v>
      </c>
      <c r="O185" s="4">
        <v>2</v>
      </c>
      <c r="P185" s="4"/>
      <c r="Q185" s="4"/>
      <c r="R185" s="4"/>
      <c r="S185" s="4"/>
      <c r="T185" s="4"/>
      <c r="U185" s="4"/>
      <c r="V185" s="4"/>
      <c r="W185" s="4"/>
    </row>
    <row r="186" spans="1:206" x14ac:dyDescent="0.2">
      <c r="A186" s="4">
        <v>50</v>
      </c>
      <c r="B186" s="4">
        <v>0</v>
      </c>
      <c r="C186" s="4">
        <v>0</v>
      </c>
      <c r="D186" s="4">
        <v>1</v>
      </c>
      <c r="E186" s="4">
        <v>211</v>
      </c>
      <c r="F186" s="4">
        <f>ROUND(Source!Y160,O186)</f>
        <v>822.98</v>
      </c>
      <c r="G186" s="4" t="s">
        <v>103</v>
      </c>
      <c r="H186" s="4" t="s">
        <v>104</v>
      </c>
      <c r="I186" s="4"/>
      <c r="J186" s="4"/>
      <c r="K186" s="4">
        <v>-211</v>
      </c>
      <c r="L186" s="4">
        <v>25</v>
      </c>
      <c r="M186" s="4">
        <v>3</v>
      </c>
      <c r="N186" s="4" t="s">
        <v>3</v>
      </c>
      <c r="O186" s="4">
        <v>2</v>
      </c>
      <c r="P186" s="4"/>
      <c r="Q186" s="4"/>
      <c r="R186" s="4"/>
      <c r="S186" s="4"/>
      <c r="T186" s="4"/>
      <c r="U186" s="4"/>
      <c r="V186" s="4"/>
      <c r="W186" s="4"/>
    </row>
    <row r="187" spans="1:206" x14ac:dyDescent="0.2">
      <c r="A187" s="4">
        <v>50</v>
      </c>
      <c r="B187" s="4">
        <v>0</v>
      </c>
      <c r="C187" s="4">
        <v>0</v>
      </c>
      <c r="D187" s="4">
        <v>1</v>
      </c>
      <c r="E187" s="4">
        <v>224</v>
      </c>
      <c r="F187" s="4">
        <f>ROUND(Source!AR160,O187)</f>
        <v>74805.83</v>
      </c>
      <c r="G187" s="4" t="s">
        <v>105</v>
      </c>
      <c r="H187" s="4" t="s">
        <v>106</v>
      </c>
      <c r="I187" s="4"/>
      <c r="J187" s="4"/>
      <c r="K187" s="4">
        <v>-224</v>
      </c>
      <c r="L187" s="4">
        <v>26</v>
      </c>
      <c r="M187" s="4">
        <v>3</v>
      </c>
      <c r="N187" s="4" t="s">
        <v>3</v>
      </c>
      <c r="O187" s="4">
        <v>2</v>
      </c>
      <c r="P187" s="4"/>
      <c r="Q187" s="4"/>
      <c r="R187" s="4"/>
      <c r="S187" s="4"/>
      <c r="T187" s="4"/>
      <c r="U187" s="4"/>
      <c r="V187" s="4"/>
      <c r="W187" s="4"/>
    </row>
    <row r="189" spans="1:206" x14ac:dyDescent="0.2">
      <c r="A189" s="1">
        <v>5</v>
      </c>
      <c r="B189" s="1">
        <v>1</v>
      </c>
      <c r="C189" s="1"/>
      <c r="D189" s="1">
        <f>ROW(A199)</f>
        <v>199</v>
      </c>
      <c r="E189" s="1"/>
      <c r="F189" s="1" t="s">
        <v>136</v>
      </c>
      <c r="G189" s="1" t="s">
        <v>145</v>
      </c>
      <c r="H189" s="1" t="s">
        <v>3</v>
      </c>
      <c r="I189" s="1">
        <v>0</v>
      </c>
      <c r="J189" s="1"/>
      <c r="K189" s="1">
        <v>0</v>
      </c>
      <c r="L189" s="1"/>
      <c r="M189" s="1"/>
      <c r="N189" s="1"/>
      <c r="O189" s="1"/>
      <c r="P189" s="1"/>
      <c r="Q189" s="1"/>
      <c r="R189" s="1"/>
      <c r="S189" s="1"/>
      <c r="T189" s="1"/>
      <c r="U189" s="1" t="s">
        <v>3</v>
      </c>
      <c r="V189" s="1">
        <v>0</v>
      </c>
      <c r="W189" s="1"/>
      <c r="X189" s="1"/>
      <c r="Y189" s="1"/>
      <c r="Z189" s="1"/>
      <c r="AA189" s="1"/>
      <c r="AB189" s="1" t="s">
        <v>3</v>
      </c>
      <c r="AC189" s="1" t="s">
        <v>3</v>
      </c>
      <c r="AD189" s="1" t="s">
        <v>3</v>
      </c>
      <c r="AE189" s="1" t="s">
        <v>3</v>
      </c>
      <c r="AF189" s="1" t="s">
        <v>3</v>
      </c>
      <c r="AG189" s="1" t="s">
        <v>3</v>
      </c>
      <c r="AH189" s="1"/>
      <c r="AI189" s="1"/>
      <c r="AJ189" s="1"/>
      <c r="AK189" s="1"/>
      <c r="AL189" s="1"/>
      <c r="AM189" s="1"/>
      <c r="AN189" s="1"/>
      <c r="AO189" s="1"/>
      <c r="AP189" s="1" t="s">
        <v>3</v>
      </c>
      <c r="AQ189" s="1" t="s">
        <v>3</v>
      </c>
      <c r="AR189" s="1" t="s">
        <v>3</v>
      </c>
      <c r="AS189" s="1"/>
      <c r="AT189" s="1"/>
      <c r="AU189" s="1"/>
      <c r="AV189" s="1"/>
      <c r="AW189" s="1"/>
      <c r="AX189" s="1"/>
      <c r="AY189" s="1"/>
      <c r="AZ189" s="1" t="s">
        <v>3</v>
      </c>
      <c r="BA189" s="1"/>
      <c r="BB189" s="1" t="s">
        <v>3</v>
      </c>
      <c r="BC189" s="1" t="s">
        <v>3</v>
      </c>
      <c r="BD189" s="1" t="s">
        <v>3</v>
      </c>
      <c r="BE189" s="1" t="s">
        <v>3</v>
      </c>
      <c r="BF189" s="1" t="s">
        <v>3</v>
      </c>
      <c r="BG189" s="1" t="s">
        <v>3</v>
      </c>
      <c r="BH189" s="1" t="s">
        <v>3</v>
      </c>
      <c r="BI189" s="1" t="s">
        <v>3</v>
      </c>
      <c r="BJ189" s="1" t="s">
        <v>3</v>
      </c>
      <c r="BK189" s="1" t="s">
        <v>3</v>
      </c>
      <c r="BL189" s="1" t="s">
        <v>3</v>
      </c>
      <c r="BM189" s="1" t="s">
        <v>3</v>
      </c>
      <c r="BN189" s="1" t="s">
        <v>3</v>
      </c>
      <c r="BO189" s="1" t="s">
        <v>3</v>
      </c>
      <c r="BP189" s="1" t="s">
        <v>3</v>
      </c>
      <c r="BQ189" s="1"/>
      <c r="BR189" s="1"/>
      <c r="BS189" s="1"/>
      <c r="BT189" s="1"/>
      <c r="BU189" s="1"/>
      <c r="BV189" s="1"/>
      <c r="BW189" s="1"/>
      <c r="BX189" s="1">
        <v>0</v>
      </c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>
        <v>0</v>
      </c>
    </row>
    <row r="191" spans="1:206" x14ac:dyDescent="0.2">
      <c r="A191" s="2">
        <v>52</v>
      </c>
      <c r="B191" s="2">
        <f t="shared" ref="B191:G191" si="149">B199</f>
        <v>1</v>
      </c>
      <c r="C191" s="2">
        <f t="shared" si="149"/>
        <v>5</v>
      </c>
      <c r="D191" s="2">
        <f t="shared" si="149"/>
        <v>189</v>
      </c>
      <c r="E191" s="2">
        <f t="shared" si="149"/>
        <v>0</v>
      </c>
      <c r="F191" s="2" t="str">
        <f t="shared" si="149"/>
        <v>Новый подраздел</v>
      </c>
      <c r="G191" s="2" t="str">
        <f t="shared" si="149"/>
        <v>Замена садового бортового камня - 440м.п.</v>
      </c>
      <c r="H191" s="2"/>
      <c r="I191" s="2"/>
      <c r="J191" s="2"/>
      <c r="K191" s="2"/>
      <c r="L191" s="2"/>
      <c r="M191" s="2"/>
      <c r="N191" s="2"/>
      <c r="O191" s="2">
        <f t="shared" ref="O191:AT191" si="150">O199</f>
        <v>203921.26</v>
      </c>
      <c r="P191" s="2">
        <f t="shared" si="150"/>
        <v>125961.26</v>
      </c>
      <c r="Q191" s="2">
        <f t="shared" si="150"/>
        <v>13312.16</v>
      </c>
      <c r="R191" s="2">
        <f t="shared" si="150"/>
        <v>9465.91</v>
      </c>
      <c r="S191" s="2">
        <f t="shared" si="150"/>
        <v>64647.839999999997</v>
      </c>
      <c r="T191" s="2">
        <f t="shared" si="150"/>
        <v>0</v>
      </c>
      <c r="U191" s="2">
        <f t="shared" si="150"/>
        <v>385.17600000000004</v>
      </c>
      <c r="V191" s="2">
        <f t="shared" si="150"/>
        <v>0</v>
      </c>
      <c r="W191" s="2">
        <f t="shared" si="150"/>
        <v>0</v>
      </c>
      <c r="X191" s="2">
        <f t="shared" si="150"/>
        <v>45253.49</v>
      </c>
      <c r="Y191" s="2">
        <f t="shared" si="150"/>
        <v>6464.78</v>
      </c>
      <c r="Z191" s="2">
        <f t="shared" si="150"/>
        <v>0</v>
      </c>
      <c r="AA191" s="2">
        <f t="shared" si="150"/>
        <v>0</v>
      </c>
      <c r="AB191" s="2">
        <f t="shared" si="150"/>
        <v>203921.26</v>
      </c>
      <c r="AC191" s="2">
        <f t="shared" si="150"/>
        <v>125961.26</v>
      </c>
      <c r="AD191" s="2">
        <f t="shared" si="150"/>
        <v>13312.16</v>
      </c>
      <c r="AE191" s="2">
        <f t="shared" si="150"/>
        <v>9465.91</v>
      </c>
      <c r="AF191" s="2">
        <f t="shared" si="150"/>
        <v>64647.839999999997</v>
      </c>
      <c r="AG191" s="2">
        <f t="shared" si="150"/>
        <v>0</v>
      </c>
      <c r="AH191" s="2">
        <f t="shared" si="150"/>
        <v>385.17600000000004</v>
      </c>
      <c r="AI191" s="2">
        <f t="shared" si="150"/>
        <v>0</v>
      </c>
      <c r="AJ191" s="2">
        <f t="shared" si="150"/>
        <v>0</v>
      </c>
      <c r="AK191" s="2">
        <f t="shared" si="150"/>
        <v>45253.49</v>
      </c>
      <c r="AL191" s="2">
        <f t="shared" si="150"/>
        <v>6464.78</v>
      </c>
      <c r="AM191" s="2">
        <f t="shared" si="150"/>
        <v>0</v>
      </c>
      <c r="AN191" s="2">
        <f t="shared" si="150"/>
        <v>0</v>
      </c>
      <c r="AO191" s="2">
        <f t="shared" si="150"/>
        <v>0</v>
      </c>
      <c r="AP191" s="2">
        <f t="shared" si="150"/>
        <v>0</v>
      </c>
      <c r="AQ191" s="2">
        <f t="shared" si="150"/>
        <v>0</v>
      </c>
      <c r="AR191" s="2">
        <f t="shared" si="150"/>
        <v>256472.42</v>
      </c>
      <c r="AS191" s="2">
        <f t="shared" si="150"/>
        <v>0</v>
      </c>
      <c r="AT191" s="2">
        <f t="shared" si="150"/>
        <v>0</v>
      </c>
      <c r="AU191" s="2">
        <f t="shared" ref="AU191:BZ191" si="151">AU199</f>
        <v>256472.42</v>
      </c>
      <c r="AV191" s="2">
        <f t="shared" si="151"/>
        <v>125961.26</v>
      </c>
      <c r="AW191" s="2">
        <f t="shared" si="151"/>
        <v>125961.26</v>
      </c>
      <c r="AX191" s="2">
        <f t="shared" si="151"/>
        <v>0</v>
      </c>
      <c r="AY191" s="2">
        <f t="shared" si="151"/>
        <v>125961.26</v>
      </c>
      <c r="AZ191" s="2">
        <f t="shared" si="151"/>
        <v>0</v>
      </c>
      <c r="BA191" s="2">
        <f t="shared" si="151"/>
        <v>0</v>
      </c>
      <c r="BB191" s="2">
        <f t="shared" si="151"/>
        <v>0</v>
      </c>
      <c r="BC191" s="2">
        <f t="shared" si="151"/>
        <v>0</v>
      </c>
      <c r="BD191" s="2">
        <f t="shared" si="151"/>
        <v>0</v>
      </c>
      <c r="BE191" s="2">
        <f t="shared" si="151"/>
        <v>0</v>
      </c>
      <c r="BF191" s="2">
        <f t="shared" si="151"/>
        <v>0</v>
      </c>
      <c r="BG191" s="2">
        <f t="shared" si="151"/>
        <v>0</v>
      </c>
      <c r="BH191" s="2">
        <f t="shared" si="151"/>
        <v>0</v>
      </c>
      <c r="BI191" s="2">
        <f t="shared" si="151"/>
        <v>0</v>
      </c>
      <c r="BJ191" s="2">
        <f t="shared" si="151"/>
        <v>0</v>
      </c>
      <c r="BK191" s="2">
        <f t="shared" si="151"/>
        <v>0</v>
      </c>
      <c r="BL191" s="2">
        <f t="shared" si="151"/>
        <v>0</v>
      </c>
      <c r="BM191" s="2">
        <f t="shared" si="151"/>
        <v>0</v>
      </c>
      <c r="BN191" s="2">
        <f t="shared" si="151"/>
        <v>0</v>
      </c>
      <c r="BO191" s="2">
        <f t="shared" si="151"/>
        <v>0</v>
      </c>
      <c r="BP191" s="2">
        <f t="shared" si="151"/>
        <v>0</v>
      </c>
      <c r="BQ191" s="2">
        <f t="shared" si="151"/>
        <v>0</v>
      </c>
      <c r="BR191" s="2">
        <f t="shared" si="151"/>
        <v>0</v>
      </c>
      <c r="BS191" s="2">
        <f t="shared" si="151"/>
        <v>0</v>
      </c>
      <c r="BT191" s="2">
        <f t="shared" si="151"/>
        <v>0</v>
      </c>
      <c r="BU191" s="2">
        <f t="shared" si="151"/>
        <v>0</v>
      </c>
      <c r="BV191" s="2">
        <f t="shared" si="151"/>
        <v>0</v>
      </c>
      <c r="BW191" s="2">
        <f t="shared" si="151"/>
        <v>0</v>
      </c>
      <c r="BX191" s="2">
        <f t="shared" si="151"/>
        <v>0</v>
      </c>
      <c r="BY191" s="2">
        <f t="shared" si="151"/>
        <v>0</v>
      </c>
      <c r="BZ191" s="2">
        <f t="shared" si="151"/>
        <v>0</v>
      </c>
      <c r="CA191" s="2">
        <f t="shared" ref="CA191:DF191" si="152">CA199</f>
        <v>256472.42</v>
      </c>
      <c r="CB191" s="2">
        <f t="shared" si="152"/>
        <v>0</v>
      </c>
      <c r="CC191" s="2">
        <f t="shared" si="152"/>
        <v>0</v>
      </c>
      <c r="CD191" s="2">
        <f t="shared" si="152"/>
        <v>256472.42</v>
      </c>
      <c r="CE191" s="2">
        <f t="shared" si="152"/>
        <v>125961.26</v>
      </c>
      <c r="CF191" s="2">
        <f t="shared" si="152"/>
        <v>125961.26</v>
      </c>
      <c r="CG191" s="2">
        <f t="shared" si="152"/>
        <v>0</v>
      </c>
      <c r="CH191" s="2">
        <f t="shared" si="152"/>
        <v>125961.26</v>
      </c>
      <c r="CI191" s="2">
        <f t="shared" si="152"/>
        <v>0</v>
      </c>
      <c r="CJ191" s="2">
        <f t="shared" si="152"/>
        <v>0</v>
      </c>
      <c r="CK191" s="2">
        <f t="shared" si="152"/>
        <v>0</v>
      </c>
      <c r="CL191" s="2">
        <f t="shared" si="152"/>
        <v>0</v>
      </c>
      <c r="CM191" s="2">
        <f t="shared" si="152"/>
        <v>0</v>
      </c>
      <c r="CN191" s="2">
        <f t="shared" si="152"/>
        <v>0</v>
      </c>
      <c r="CO191" s="2">
        <f t="shared" si="152"/>
        <v>0</v>
      </c>
      <c r="CP191" s="2">
        <f t="shared" si="152"/>
        <v>0</v>
      </c>
      <c r="CQ191" s="2">
        <f t="shared" si="152"/>
        <v>0</v>
      </c>
      <c r="CR191" s="2">
        <f t="shared" si="152"/>
        <v>0</v>
      </c>
      <c r="CS191" s="2">
        <f t="shared" si="152"/>
        <v>0</v>
      </c>
      <c r="CT191" s="2">
        <f t="shared" si="152"/>
        <v>0</v>
      </c>
      <c r="CU191" s="2">
        <f t="shared" si="152"/>
        <v>0</v>
      </c>
      <c r="CV191" s="2">
        <f t="shared" si="152"/>
        <v>0</v>
      </c>
      <c r="CW191" s="2">
        <f t="shared" si="152"/>
        <v>0</v>
      </c>
      <c r="CX191" s="2">
        <f t="shared" si="152"/>
        <v>0</v>
      </c>
      <c r="CY191" s="2">
        <f t="shared" si="152"/>
        <v>0</v>
      </c>
      <c r="CZ191" s="2">
        <f t="shared" si="152"/>
        <v>0</v>
      </c>
      <c r="DA191" s="2">
        <f t="shared" si="152"/>
        <v>0</v>
      </c>
      <c r="DB191" s="2">
        <f t="shared" si="152"/>
        <v>0</v>
      </c>
      <c r="DC191" s="2">
        <f t="shared" si="152"/>
        <v>0</v>
      </c>
      <c r="DD191" s="2">
        <f t="shared" si="152"/>
        <v>0</v>
      </c>
      <c r="DE191" s="2">
        <f t="shared" si="152"/>
        <v>0</v>
      </c>
      <c r="DF191" s="2">
        <f t="shared" si="152"/>
        <v>0</v>
      </c>
      <c r="DG191" s="3">
        <f t="shared" ref="DG191:EL191" si="153">DG199</f>
        <v>0</v>
      </c>
      <c r="DH191" s="3">
        <f t="shared" si="153"/>
        <v>0</v>
      </c>
      <c r="DI191" s="3">
        <f t="shared" si="153"/>
        <v>0</v>
      </c>
      <c r="DJ191" s="3">
        <f t="shared" si="153"/>
        <v>0</v>
      </c>
      <c r="DK191" s="3">
        <f t="shared" si="153"/>
        <v>0</v>
      </c>
      <c r="DL191" s="3">
        <f t="shared" si="153"/>
        <v>0</v>
      </c>
      <c r="DM191" s="3">
        <f t="shared" si="153"/>
        <v>0</v>
      </c>
      <c r="DN191" s="3">
        <f t="shared" si="153"/>
        <v>0</v>
      </c>
      <c r="DO191" s="3">
        <f t="shared" si="153"/>
        <v>0</v>
      </c>
      <c r="DP191" s="3">
        <f t="shared" si="153"/>
        <v>0</v>
      </c>
      <c r="DQ191" s="3">
        <f t="shared" si="153"/>
        <v>0</v>
      </c>
      <c r="DR191" s="3">
        <f t="shared" si="153"/>
        <v>0</v>
      </c>
      <c r="DS191" s="3">
        <f t="shared" si="153"/>
        <v>0</v>
      </c>
      <c r="DT191" s="3">
        <f t="shared" si="153"/>
        <v>0</v>
      </c>
      <c r="DU191" s="3">
        <f t="shared" si="153"/>
        <v>0</v>
      </c>
      <c r="DV191" s="3">
        <f t="shared" si="153"/>
        <v>0</v>
      </c>
      <c r="DW191" s="3">
        <f t="shared" si="153"/>
        <v>0</v>
      </c>
      <c r="DX191" s="3">
        <f t="shared" si="153"/>
        <v>0</v>
      </c>
      <c r="DY191" s="3">
        <f t="shared" si="153"/>
        <v>0</v>
      </c>
      <c r="DZ191" s="3">
        <f t="shared" si="153"/>
        <v>0</v>
      </c>
      <c r="EA191" s="3">
        <f t="shared" si="153"/>
        <v>0</v>
      </c>
      <c r="EB191" s="3">
        <f t="shared" si="153"/>
        <v>0</v>
      </c>
      <c r="EC191" s="3">
        <f t="shared" si="153"/>
        <v>0</v>
      </c>
      <c r="ED191" s="3">
        <f t="shared" si="153"/>
        <v>0</v>
      </c>
      <c r="EE191" s="3">
        <f t="shared" si="153"/>
        <v>0</v>
      </c>
      <c r="EF191" s="3">
        <f t="shared" si="153"/>
        <v>0</v>
      </c>
      <c r="EG191" s="3">
        <f t="shared" si="153"/>
        <v>0</v>
      </c>
      <c r="EH191" s="3">
        <f t="shared" si="153"/>
        <v>0</v>
      </c>
      <c r="EI191" s="3">
        <f t="shared" si="153"/>
        <v>0</v>
      </c>
      <c r="EJ191" s="3">
        <f t="shared" si="153"/>
        <v>0</v>
      </c>
      <c r="EK191" s="3">
        <f t="shared" si="153"/>
        <v>0</v>
      </c>
      <c r="EL191" s="3">
        <f t="shared" si="153"/>
        <v>0</v>
      </c>
      <c r="EM191" s="3">
        <f t="shared" ref="EM191:FR191" si="154">EM199</f>
        <v>0</v>
      </c>
      <c r="EN191" s="3">
        <f t="shared" si="154"/>
        <v>0</v>
      </c>
      <c r="EO191" s="3">
        <f t="shared" si="154"/>
        <v>0</v>
      </c>
      <c r="EP191" s="3">
        <f t="shared" si="154"/>
        <v>0</v>
      </c>
      <c r="EQ191" s="3">
        <f t="shared" si="154"/>
        <v>0</v>
      </c>
      <c r="ER191" s="3">
        <f t="shared" si="154"/>
        <v>0</v>
      </c>
      <c r="ES191" s="3">
        <f t="shared" si="154"/>
        <v>0</v>
      </c>
      <c r="ET191" s="3">
        <f t="shared" si="154"/>
        <v>0</v>
      </c>
      <c r="EU191" s="3">
        <f t="shared" si="154"/>
        <v>0</v>
      </c>
      <c r="EV191" s="3">
        <f t="shared" si="154"/>
        <v>0</v>
      </c>
      <c r="EW191" s="3">
        <f t="shared" si="154"/>
        <v>0</v>
      </c>
      <c r="EX191" s="3">
        <f t="shared" si="154"/>
        <v>0</v>
      </c>
      <c r="EY191" s="3">
        <f t="shared" si="154"/>
        <v>0</v>
      </c>
      <c r="EZ191" s="3">
        <f t="shared" si="154"/>
        <v>0</v>
      </c>
      <c r="FA191" s="3">
        <f t="shared" si="154"/>
        <v>0</v>
      </c>
      <c r="FB191" s="3">
        <f t="shared" si="154"/>
        <v>0</v>
      </c>
      <c r="FC191" s="3">
        <f t="shared" si="154"/>
        <v>0</v>
      </c>
      <c r="FD191" s="3">
        <f t="shared" si="154"/>
        <v>0</v>
      </c>
      <c r="FE191" s="3">
        <f t="shared" si="154"/>
        <v>0</v>
      </c>
      <c r="FF191" s="3">
        <f t="shared" si="154"/>
        <v>0</v>
      </c>
      <c r="FG191" s="3">
        <f t="shared" si="154"/>
        <v>0</v>
      </c>
      <c r="FH191" s="3">
        <f t="shared" si="154"/>
        <v>0</v>
      </c>
      <c r="FI191" s="3">
        <f t="shared" si="154"/>
        <v>0</v>
      </c>
      <c r="FJ191" s="3">
        <f t="shared" si="154"/>
        <v>0</v>
      </c>
      <c r="FK191" s="3">
        <f t="shared" si="154"/>
        <v>0</v>
      </c>
      <c r="FL191" s="3">
        <f t="shared" si="154"/>
        <v>0</v>
      </c>
      <c r="FM191" s="3">
        <f t="shared" si="154"/>
        <v>0</v>
      </c>
      <c r="FN191" s="3">
        <f t="shared" si="154"/>
        <v>0</v>
      </c>
      <c r="FO191" s="3">
        <f t="shared" si="154"/>
        <v>0</v>
      </c>
      <c r="FP191" s="3">
        <f t="shared" si="154"/>
        <v>0</v>
      </c>
      <c r="FQ191" s="3">
        <f t="shared" si="154"/>
        <v>0</v>
      </c>
      <c r="FR191" s="3">
        <f t="shared" si="154"/>
        <v>0</v>
      </c>
      <c r="FS191" s="3">
        <f t="shared" ref="FS191:GX191" si="155">FS199</f>
        <v>0</v>
      </c>
      <c r="FT191" s="3">
        <f t="shared" si="155"/>
        <v>0</v>
      </c>
      <c r="FU191" s="3">
        <f t="shared" si="155"/>
        <v>0</v>
      </c>
      <c r="FV191" s="3">
        <f t="shared" si="155"/>
        <v>0</v>
      </c>
      <c r="FW191" s="3">
        <f t="shared" si="155"/>
        <v>0</v>
      </c>
      <c r="FX191" s="3">
        <f t="shared" si="155"/>
        <v>0</v>
      </c>
      <c r="FY191" s="3">
        <f t="shared" si="155"/>
        <v>0</v>
      </c>
      <c r="FZ191" s="3">
        <f t="shared" si="155"/>
        <v>0</v>
      </c>
      <c r="GA191" s="3">
        <f t="shared" si="155"/>
        <v>0</v>
      </c>
      <c r="GB191" s="3">
        <f t="shared" si="155"/>
        <v>0</v>
      </c>
      <c r="GC191" s="3">
        <f t="shared" si="155"/>
        <v>0</v>
      </c>
      <c r="GD191" s="3">
        <f t="shared" si="155"/>
        <v>0</v>
      </c>
      <c r="GE191" s="3">
        <f t="shared" si="155"/>
        <v>0</v>
      </c>
      <c r="GF191" s="3">
        <f t="shared" si="155"/>
        <v>0</v>
      </c>
      <c r="GG191" s="3">
        <f t="shared" si="155"/>
        <v>0</v>
      </c>
      <c r="GH191" s="3">
        <f t="shared" si="155"/>
        <v>0</v>
      </c>
      <c r="GI191" s="3">
        <f t="shared" si="155"/>
        <v>0</v>
      </c>
      <c r="GJ191" s="3">
        <f t="shared" si="155"/>
        <v>0</v>
      </c>
      <c r="GK191" s="3">
        <f t="shared" si="155"/>
        <v>0</v>
      </c>
      <c r="GL191" s="3">
        <f t="shared" si="155"/>
        <v>0</v>
      </c>
      <c r="GM191" s="3">
        <f t="shared" si="155"/>
        <v>0</v>
      </c>
      <c r="GN191" s="3">
        <f t="shared" si="155"/>
        <v>0</v>
      </c>
      <c r="GO191" s="3">
        <f t="shared" si="155"/>
        <v>0</v>
      </c>
      <c r="GP191" s="3">
        <f t="shared" si="155"/>
        <v>0</v>
      </c>
      <c r="GQ191" s="3">
        <f t="shared" si="155"/>
        <v>0</v>
      </c>
      <c r="GR191" s="3">
        <f t="shared" si="155"/>
        <v>0</v>
      </c>
      <c r="GS191" s="3">
        <f t="shared" si="155"/>
        <v>0</v>
      </c>
      <c r="GT191" s="3">
        <f t="shared" si="155"/>
        <v>0</v>
      </c>
      <c r="GU191" s="3">
        <f t="shared" si="155"/>
        <v>0</v>
      </c>
      <c r="GV191" s="3">
        <f t="shared" si="155"/>
        <v>0</v>
      </c>
      <c r="GW191" s="3">
        <f t="shared" si="155"/>
        <v>0</v>
      </c>
      <c r="GX191" s="3">
        <f t="shared" si="155"/>
        <v>0</v>
      </c>
    </row>
    <row r="193" spans="1:245" x14ac:dyDescent="0.2">
      <c r="A193">
        <v>17</v>
      </c>
      <c r="B193">
        <v>1</v>
      </c>
      <c r="C193">
        <f>ROW(SmtRes!A110)</f>
        <v>110</v>
      </c>
      <c r="D193">
        <f>ROW(EtalonRes!A110)</f>
        <v>110</v>
      </c>
      <c r="E193" t="s">
        <v>146</v>
      </c>
      <c r="F193" t="s">
        <v>147</v>
      </c>
      <c r="G193" t="s">
        <v>148</v>
      </c>
      <c r="H193" t="s">
        <v>149</v>
      </c>
      <c r="I193">
        <f>ROUND(440/100,9)</f>
        <v>4.4000000000000004</v>
      </c>
      <c r="J193">
        <v>0</v>
      </c>
      <c r="O193">
        <f>ROUND(CP193,2)</f>
        <v>10898.7</v>
      </c>
      <c r="P193">
        <f>ROUND(CQ193*I193,2)</f>
        <v>0</v>
      </c>
      <c r="Q193">
        <f>ROUND(CR193*I193,2)</f>
        <v>124.06</v>
      </c>
      <c r="R193">
        <f>ROUND(CS193*I193,2)</f>
        <v>62.03</v>
      </c>
      <c r="S193">
        <f>ROUND(CT193*I193,2)</f>
        <v>10774.64</v>
      </c>
      <c r="T193">
        <f>ROUND(CU193*I193,2)</f>
        <v>0</v>
      </c>
      <c r="U193">
        <f>CV193*I193</f>
        <v>64.196000000000012</v>
      </c>
      <c r="V193">
        <f>CW193*I193</f>
        <v>0</v>
      </c>
      <c r="W193">
        <f>ROUND(CX193*I193,2)</f>
        <v>0</v>
      </c>
      <c r="X193">
        <f t="shared" ref="X193:Y197" si="156">ROUND(CY193,2)</f>
        <v>7542.25</v>
      </c>
      <c r="Y193">
        <f t="shared" si="156"/>
        <v>1077.46</v>
      </c>
      <c r="AA193">
        <v>37598633</v>
      </c>
      <c r="AB193">
        <f>ROUND((AC193+AD193+AF193),6)</f>
        <v>2476.9780000000001</v>
      </c>
      <c r="AC193">
        <f>ROUND(0,6)</f>
        <v>0</v>
      </c>
      <c r="AD193">
        <f>ROUND(((((ET193*0.2))-((EU193*0.2)))+AE193),6)</f>
        <v>28.196000000000002</v>
      </c>
      <c r="AE193">
        <f>ROUND(((EU193*0.2)),6)</f>
        <v>14.098000000000001</v>
      </c>
      <c r="AF193">
        <f>ROUND(((EV193*0.2)),6)</f>
        <v>2448.7820000000002</v>
      </c>
      <c r="AG193">
        <f>ROUND((AP193),6)</f>
        <v>0</v>
      </c>
      <c r="AH193">
        <f>((EW193*0.2))</f>
        <v>14.590000000000002</v>
      </c>
      <c r="AI193">
        <f>((EX193*0.2))</f>
        <v>0</v>
      </c>
      <c r="AJ193">
        <f>ROUND((AS193),6)</f>
        <v>0</v>
      </c>
      <c r="AK193">
        <v>41012.449999999997</v>
      </c>
      <c r="AL193">
        <v>28627.56</v>
      </c>
      <c r="AM193">
        <v>140.97999999999999</v>
      </c>
      <c r="AN193">
        <v>70.489999999999995</v>
      </c>
      <c r="AO193">
        <v>12243.91</v>
      </c>
      <c r="AP193">
        <v>0</v>
      </c>
      <c r="AQ193">
        <v>72.95</v>
      </c>
      <c r="AR193">
        <v>0</v>
      </c>
      <c r="AS193">
        <v>0</v>
      </c>
      <c r="AT193">
        <v>70</v>
      </c>
      <c r="AU193">
        <v>10</v>
      </c>
      <c r="AV193">
        <v>1</v>
      </c>
      <c r="AW193">
        <v>1</v>
      </c>
      <c r="AZ193">
        <v>1</v>
      </c>
      <c r="BA193">
        <v>1</v>
      </c>
      <c r="BB193">
        <v>1</v>
      </c>
      <c r="BC193">
        <v>1</v>
      </c>
      <c r="BD193" t="s">
        <v>3</v>
      </c>
      <c r="BE193" t="s">
        <v>3</v>
      </c>
      <c r="BF193" t="s">
        <v>3</v>
      </c>
      <c r="BG193" t="s">
        <v>3</v>
      </c>
      <c r="BH193">
        <v>0</v>
      </c>
      <c r="BI193">
        <v>4</v>
      </c>
      <c r="BJ193" t="s">
        <v>150</v>
      </c>
      <c r="BM193">
        <v>0</v>
      </c>
      <c r="BN193">
        <v>0</v>
      </c>
      <c r="BO193" t="s">
        <v>3</v>
      </c>
      <c r="BP193">
        <v>0</v>
      </c>
      <c r="BQ193">
        <v>1</v>
      </c>
      <c r="BR193">
        <v>0</v>
      </c>
      <c r="BS193">
        <v>1</v>
      </c>
      <c r="BT193">
        <v>1</v>
      </c>
      <c r="BU193">
        <v>1</v>
      </c>
      <c r="BV193">
        <v>1</v>
      </c>
      <c r="BW193">
        <v>1</v>
      </c>
      <c r="BX193">
        <v>1</v>
      </c>
      <c r="BY193" t="s">
        <v>3</v>
      </c>
      <c r="BZ193">
        <v>70</v>
      </c>
      <c r="CA193">
        <v>10</v>
      </c>
      <c r="CF193">
        <v>0</v>
      </c>
      <c r="CG193">
        <v>0</v>
      </c>
      <c r="CM193">
        <v>0</v>
      </c>
      <c r="CN193" t="s">
        <v>3</v>
      </c>
      <c r="CO193">
        <v>0</v>
      </c>
      <c r="CP193">
        <f>(P193+Q193+S193)</f>
        <v>10898.699999999999</v>
      </c>
      <c r="CQ193">
        <f>(AC193*BC193*AW193)</f>
        <v>0</v>
      </c>
      <c r="CR193">
        <f>(((((ET193*0.2))*BB193-((EU193*0.2))*BS193)+AE193*BS193)*AV193)</f>
        <v>28.195999999999998</v>
      </c>
      <c r="CS193">
        <f>(AE193*BS193*AV193)</f>
        <v>14.098000000000001</v>
      </c>
      <c r="CT193">
        <f>(AF193*BA193*AV193)</f>
        <v>2448.7820000000002</v>
      </c>
      <c r="CU193">
        <f>AG193</f>
        <v>0</v>
      </c>
      <c r="CV193">
        <f>(AH193*AV193)</f>
        <v>14.590000000000002</v>
      </c>
      <c r="CW193">
        <f t="shared" ref="CW193:CX197" si="157">AI193</f>
        <v>0</v>
      </c>
      <c r="CX193">
        <f t="shared" si="157"/>
        <v>0</v>
      </c>
      <c r="CY193">
        <f>((S193*BZ193)/100)</f>
        <v>7542.2479999999996</v>
      </c>
      <c r="CZ193">
        <f>((S193*CA193)/100)</f>
        <v>1077.4639999999999</v>
      </c>
      <c r="DC193" t="s">
        <v>3</v>
      </c>
      <c r="DD193" t="s">
        <v>151</v>
      </c>
      <c r="DE193" t="s">
        <v>152</v>
      </c>
      <c r="DF193" t="s">
        <v>152</v>
      </c>
      <c r="DG193" t="s">
        <v>152</v>
      </c>
      <c r="DH193" t="s">
        <v>3</v>
      </c>
      <c r="DI193" t="s">
        <v>152</v>
      </c>
      <c r="DJ193" t="s">
        <v>152</v>
      </c>
      <c r="DK193" t="s">
        <v>3</v>
      </c>
      <c r="DL193" t="s">
        <v>3</v>
      </c>
      <c r="DM193" t="s">
        <v>3</v>
      </c>
      <c r="DN193">
        <v>0</v>
      </c>
      <c r="DO193">
        <v>0</v>
      </c>
      <c r="DP193">
        <v>1</v>
      </c>
      <c r="DQ193">
        <v>1</v>
      </c>
      <c r="DU193">
        <v>1003</v>
      </c>
      <c r="DV193" t="s">
        <v>149</v>
      </c>
      <c r="DW193" t="s">
        <v>149</v>
      </c>
      <c r="DX193">
        <v>100</v>
      </c>
      <c r="EE193">
        <v>34176748</v>
      </c>
      <c r="EF193">
        <v>1</v>
      </c>
      <c r="EG193" t="s">
        <v>19</v>
      </c>
      <c r="EH193">
        <v>0</v>
      </c>
      <c r="EI193" t="s">
        <v>3</v>
      </c>
      <c r="EJ193">
        <v>4</v>
      </c>
      <c r="EK193">
        <v>0</v>
      </c>
      <c r="EL193" t="s">
        <v>20</v>
      </c>
      <c r="EM193" t="s">
        <v>21</v>
      </c>
      <c r="EO193" t="s">
        <v>3</v>
      </c>
      <c r="EQ193">
        <v>0</v>
      </c>
      <c r="ER193">
        <v>41012.449999999997</v>
      </c>
      <c r="ES193">
        <v>28627.56</v>
      </c>
      <c r="ET193">
        <v>140.97999999999999</v>
      </c>
      <c r="EU193">
        <v>70.489999999999995</v>
      </c>
      <c r="EV193">
        <v>12243.91</v>
      </c>
      <c r="EW193">
        <v>72.95</v>
      </c>
      <c r="EX193">
        <v>0</v>
      </c>
      <c r="EY193">
        <v>0</v>
      </c>
      <c r="FQ193">
        <v>0</v>
      </c>
      <c r="FR193">
        <f>ROUND(IF(AND(BH193=3,BI193=3),P193,0),2)</f>
        <v>0</v>
      </c>
      <c r="FS193">
        <v>0</v>
      </c>
      <c r="FX193">
        <v>70</v>
      </c>
      <c r="FY193">
        <v>10</v>
      </c>
      <c r="GA193" t="s">
        <v>3</v>
      </c>
      <c r="GD193">
        <v>0</v>
      </c>
      <c r="GF193">
        <v>-1140733666</v>
      </c>
      <c r="GG193">
        <v>2</v>
      </c>
      <c r="GH193">
        <v>1</v>
      </c>
      <c r="GI193">
        <v>-2</v>
      </c>
      <c r="GJ193">
        <v>0</v>
      </c>
      <c r="GK193">
        <f>ROUND(R193*(R12)/100,2)</f>
        <v>66.989999999999995</v>
      </c>
      <c r="GL193">
        <f>ROUND(IF(AND(BH193=3,BI193=3,FS193&lt;&gt;0),P193,0),2)</f>
        <v>0</v>
      </c>
      <c r="GM193">
        <f>ROUND(O193+X193+Y193+GK193,2)+GX193</f>
        <v>19585.400000000001</v>
      </c>
      <c r="GN193">
        <f>IF(OR(BI193=0,BI193=1),ROUND(O193+X193+Y193+GK193,2),0)</f>
        <v>0</v>
      </c>
      <c r="GO193">
        <f>IF(BI193=2,ROUND(O193+X193+Y193+GK193,2),0)</f>
        <v>0</v>
      </c>
      <c r="GP193">
        <f>IF(BI193=4,ROUND(O193+X193+Y193+GK193,2)+GX193,0)</f>
        <v>19585.400000000001</v>
      </c>
      <c r="GR193">
        <v>0</v>
      </c>
      <c r="GS193">
        <v>3</v>
      </c>
      <c r="GT193">
        <v>0</v>
      </c>
      <c r="GU193" t="s">
        <v>3</v>
      </c>
      <c r="GV193">
        <f>ROUND(GT193,6)</f>
        <v>0</v>
      </c>
      <c r="GW193">
        <v>1</v>
      </c>
      <c r="GX193">
        <f>ROUND(GV193*GW193*I193,2)</f>
        <v>0</v>
      </c>
      <c r="HA193">
        <v>0</v>
      </c>
      <c r="HB193">
        <v>0</v>
      </c>
      <c r="IK193">
        <v>0</v>
      </c>
    </row>
    <row r="194" spans="1:245" x14ac:dyDescent="0.2">
      <c r="A194">
        <v>17</v>
      </c>
      <c r="B194">
        <v>1</v>
      </c>
      <c r="C194">
        <f>ROW(SmtRes!A111)</f>
        <v>111</v>
      </c>
      <c r="D194">
        <f>ROW(EtalonRes!A111)</f>
        <v>111</v>
      </c>
      <c r="E194" t="s">
        <v>153</v>
      </c>
      <c r="F194" t="s">
        <v>27</v>
      </c>
      <c r="G194" t="s">
        <v>28</v>
      </c>
      <c r="H194" t="s">
        <v>29</v>
      </c>
      <c r="I194">
        <v>14.2555</v>
      </c>
      <c r="J194">
        <v>0</v>
      </c>
      <c r="O194">
        <f>ROUND(CP194,2)</f>
        <v>992.18</v>
      </c>
      <c r="P194">
        <f>ROUND(CQ194*I194,2)</f>
        <v>0</v>
      </c>
      <c r="Q194">
        <f>ROUND(CR194*I194,2)</f>
        <v>992.18</v>
      </c>
      <c r="R194">
        <f>ROUND(CS194*I194,2)</f>
        <v>399.01</v>
      </c>
      <c r="S194">
        <f>ROUND(CT194*I194,2)</f>
        <v>0</v>
      </c>
      <c r="T194">
        <f>ROUND(CU194*I194,2)</f>
        <v>0</v>
      </c>
      <c r="U194">
        <f>CV194*I194</f>
        <v>0</v>
      </c>
      <c r="V194">
        <f>CW194*I194</f>
        <v>0</v>
      </c>
      <c r="W194">
        <f>ROUND(CX194*I194,2)</f>
        <v>0</v>
      </c>
      <c r="X194">
        <f t="shared" si="156"/>
        <v>0</v>
      </c>
      <c r="Y194">
        <f t="shared" si="156"/>
        <v>0</v>
      </c>
      <c r="AA194">
        <v>37598633</v>
      </c>
      <c r="AB194">
        <f>ROUND((AC194+AD194+AF194),6)</f>
        <v>69.599999999999994</v>
      </c>
      <c r="AC194">
        <f>ROUND((ES194),6)</f>
        <v>0</v>
      </c>
      <c r="AD194">
        <f>ROUND((((ET194)-(EU194))+AE194),6)</f>
        <v>69.599999999999994</v>
      </c>
      <c r="AE194">
        <f>ROUND((EU194),6)</f>
        <v>27.99</v>
      </c>
      <c r="AF194">
        <f>ROUND((EV194),6)</f>
        <v>0</v>
      </c>
      <c r="AG194">
        <f>ROUND((AP194),6)</f>
        <v>0</v>
      </c>
      <c r="AH194">
        <f>(EW194)</f>
        <v>0</v>
      </c>
      <c r="AI194">
        <f>(EX194)</f>
        <v>0</v>
      </c>
      <c r="AJ194">
        <f>ROUND((AS194),6)</f>
        <v>0</v>
      </c>
      <c r="AK194">
        <v>69.599999999999994</v>
      </c>
      <c r="AL194">
        <v>0</v>
      </c>
      <c r="AM194">
        <v>69.599999999999994</v>
      </c>
      <c r="AN194">
        <v>27.99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70</v>
      </c>
      <c r="AU194">
        <v>10</v>
      </c>
      <c r="AV194">
        <v>1</v>
      </c>
      <c r="AW194">
        <v>1</v>
      </c>
      <c r="AZ194">
        <v>1</v>
      </c>
      <c r="BA194">
        <v>1</v>
      </c>
      <c r="BB194">
        <v>1</v>
      </c>
      <c r="BC194">
        <v>1</v>
      </c>
      <c r="BD194" t="s">
        <v>3</v>
      </c>
      <c r="BE194" t="s">
        <v>3</v>
      </c>
      <c r="BF194" t="s">
        <v>3</v>
      </c>
      <c r="BG194" t="s">
        <v>3</v>
      </c>
      <c r="BH194">
        <v>0</v>
      </c>
      <c r="BI194">
        <v>4</v>
      </c>
      <c r="BJ194" t="s">
        <v>30</v>
      </c>
      <c r="BM194">
        <v>0</v>
      </c>
      <c r="BN194">
        <v>0</v>
      </c>
      <c r="BO194" t="s">
        <v>3</v>
      </c>
      <c r="BP194">
        <v>0</v>
      </c>
      <c r="BQ194">
        <v>1</v>
      </c>
      <c r="BR194">
        <v>0</v>
      </c>
      <c r="BS194">
        <v>1</v>
      </c>
      <c r="BT194">
        <v>1</v>
      </c>
      <c r="BU194">
        <v>1</v>
      </c>
      <c r="BV194">
        <v>1</v>
      </c>
      <c r="BW194">
        <v>1</v>
      </c>
      <c r="BX194">
        <v>1</v>
      </c>
      <c r="BY194" t="s">
        <v>3</v>
      </c>
      <c r="BZ194">
        <v>70</v>
      </c>
      <c r="CA194">
        <v>10</v>
      </c>
      <c r="CF194">
        <v>0</v>
      </c>
      <c r="CG194">
        <v>0</v>
      </c>
      <c r="CM194">
        <v>0</v>
      </c>
      <c r="CN194" t="s">
        <v>3</v>
      </c>
      <c r="CO194">
        <v>0</v>
      </c>
      <c r="CP194">
        <f>(P194+Q194+S194)</f>
        <v>992.18</v>
      </c>
      <c r="CQ194">
        <f>(AC194*BC194*AW194)</f>
        <v>0</v>
      </c>
      <c r="CR194">
        <f>((((ET194)*BB194-(EU194)*BS194)+AE194*BS194)*AV194)</f>
        <v>69.599999999999994</v>
      </c>
      <c r="CS194">
        <f>(AE194*BS194*AV194)</f>
        <v>27.99</v>
      </c>
      <c r="CT194">
        <f>(AF194*BA194*AV194)</f>
        <v>0</v>
      </c>
      <c r="CU194">
        <f>AG194</f>
        <v>0</v>
      </c>
      <c r="CV194">
        <f>(AH194*AV194)</f>
        <v>0</v>
      </c>
      <c r="CW194">
        <f t="shared" si="157"/>
        <v>0</v>
      </c>
      <c r="CX194">
        <f t="shared" si="157"/>
        <v>0</v>
      </c>
      <c r="CY194">
        <f>((S194*BZ194)/100)</f>
        <v>0</v>
      </c>
      <c r="CZ194">
        <f>((S194*CA194)/100)</f>
        <v>0</v>
      </c>
      <c r="DC194" t="s">
        <v>3</v>
      </c>
      <c r="DD194" t="s">
        <v>3</v>
      </c>
      <c r="DE194" t="s">
        <v>3</v>
      </c>
      <c r="DF194" t="s">
        <v>3</v>
      </c>
      <c r="DG194" t="s">
        <v>3</v>
      </c>
      <c r="DH194" t="s">
        <v>3</v>
      </c>
      <c r="DI194" t="s">
        <v>3</v>
      </c>
      <c r="DJ194" t="s">
        <v>3</v>
      </c>
      <c r="DK194" t="s">
        <v>3</v>
      </c>
      <c r="DL194" t="s">
        <v>3</v>
      </c>
      <c r="DM194" t="s">
        <v>3</v>
      </c>
      <c r="DN194">
        <v>0</v>
      </c>
      <c r="DO194">
        <v>0</v>
      </c>
      <c r="DP194">
        <v>1</v>
      </c>
      <c r="DQ194">
        <v>1</v>
      </c>
      <c r="DU194">
        <v>1009</v>
      </c>
      <c r="DV194" t="s">
        <v>29</v>
      </c>
      <c r="DW194" t="s">
        <v>29</v>
      </c>
      <c r="DX194">
        <v>1000</v>
      </c>
      <c r="EE194">
        <v>34176748</v>
      </c>
      <c r="EF194">
        <v>1</v>
      </c>
      <c r="EG194" t="s">
        <v>19</v>
      </c>
      <c r="EH194">
        <v>0</v>
      </c>
      <c r="EI194" t="s">
        <v>3</v>
      </c>
      <c r="EJ194">
        <v>4</v>
      </c>
      <c r="EK194">
        <v>0</v>
      </c>
      <c r="EL194" t="s">
        <v>20</v>
      </c>
      <c r="EM194" t="s">
        <v>21</v>
      </c>
      <c r="EO194" t="s">
        <v>3</v>
      </c>
      <c r="EQ194">
        <v>0</v>
      </c>
      <c r="ER194">
        <v>69.599999999999994</v>
      </c>
      <c r="ES194">
        <v>0</v>
      </c>
      <c r="ET194">
        <v>69.599999999999994</v>
      </c>
      <c r="EU194">
        <v>27.99</v>
      </c>
      <c r="EV194">
        <v>0</v>
      </c>
      <c r="EW194">
        <v>0</v>
      </c>
      <c r="EX194">
        <v>0</v>
      </c>
      <c r="EY194">
        <v>0</v>
      </c>
      <c r="FQ194">
        <v>0</v>
      </c>
      <c r="FR194">
        <f>ROUND(IF(AND(BH194=3,BI194=3),P194,0),2)</f>
        <v>0</v>
      </c>
      <c r="FS194">
        <v>0</v>
      </c>
      <c r="FX194">
        <v>70</v>
      </c>
      <c r="FY194">
        <v>10</v>
      </c>
      <c r="GA194" t="s">
        <v>3</v>
      </c>
      <c r="GD194">
        <v>0</v>
      </c>
      <c r="GF194">
        <v>1611252458</v>
      </c>
      <c r="GG194">
        <v>2</v>
      </c>
      <c r="GH194">
        <v>1</v>
      </c>
      <c r="GI194">
        <v>-2</v>
      </c>
      <c r="GJ194">
        <v>0</v>
      </c>
      <c r="GK194">
        <f>ROUND(R194*(R12)/100,2)</f>
        <v>430.93</v>
      </c>
      <c r="GL194">
        <f>ROUND(IF(AND(BH194=3,BI194=3,FS194&lt;&gt;0),P194,0),2)</f>
        <v>0</v>
      </c>
      <c r="GM194">
        <f>ROUND(O194+X194+Y194+GK194,2)+GX194</f>
        <v>1423.11</v>
      </c>
      <c r="GN194">
        <f>IF(OR(BI194=0,BI194=1),ROUND(O194+X194+Y194+GK194,2),0)</f>
        <v>0</v>
      </c>
      <c r="GO194">
        <f>IF(BI194=2,ROUND(O194+X194+Y194+GK194,2),0)</f>
        <v>0</v>
      </c>
      <c r="GP194">
        <f>IF(BI194=4,ROUND(O194+X194+Y194+GK194,2)+GX194,0)</f>
        <v>1423.11</v>
      </c>
      <c r="GR194">
        <v>0</v>
      </c>
      <c r="GS194">
        <v>3</v>
      </c>
      <c r="GT194">
        <v>0</v>
      </c>
      <c r="GU194" t="s">
        <v>3</v>
      </c>
      <c r="GV194">
        <f>ROUND(GT194,6)</f>
        <v>0</v>
      </c>
      <c r="GW194">
        <v>1</v>
      </c>
      <c r="GX194">
        <f>ROUND(GV194*GW194*I194,2)</f>
        <v>0</v>
      </c>
      <c r="HA194">
        <v>0</v>
      </c>
      <c r="HB194">
        <v>0</v>
      </c>
      <c r="IK194">
        <v>0</v>
      </c>
    </row>
    <row r="195" spans="1:245" x14ac:dyDescent="0.2">
      <c r="A195">
        <v>17</v>
      </c>
      <c r="B195">
        <v>1</v>
      </c>
      <c r="C195">
        <f>ROW(SmtRes!A113)</f>
        <v>113</v>
      </c>
      <c r="D195">
        <f>ROW(EtalonRes!A113)</f>
        <v>113</v>
      </c>
      <c r="E195" t="s">
        <v>154</v>
      </c>
      <c r="F195" t="s">
        <v>32</v>
      </c>
      <c r="G195" t="s">
        <v>33</v>
      </c>
      <c r="H195" t="s">
        <v>29</v>
      </c>
      <c r="I195">
        <f>ROUND(I194,9)</f>
        <v>14.2555</v>
      </c>
      <c r="J195">
        <v>0</v>
      </c>
      <c r="O195">
        <f>ROUND(CP195,2)</f>
        <v>905.37</v>
      </c>
      <c r="P195">
        <f>ROUND(CQ195*I195,2)</f>
        <v>0</v>
      </c>
      <c r="Q195">
        <f>ROUND(CR195*I195,2)</f>
        <v>905.37</v>
      </c>
      <c r="R195">
        <f>ROUND(CS195*I195,2)</f>
        <v>679.56</v>
      </c>
      <c r="S195">
        <f>ROUND(CT195*I195,2)</f>
        <v>0</v>
      </c>
      <c r="T195">
        <f>ROUND(CU195*I195,2)</f>
        <v>0</v>
      </c>
      <c r="U195">
        <f>CV195*I195</f>
        <v>0</v>
      </c>
      <c r="V195">
        <f>CW195*I195</f>
        <v>0</v>
      </c>
      <c r="W195">
        <f>ROUND(CX195*I195,2)</f>
        <v>0</v>
      </c>
      <c r="X195">
        <f t="shared" si="156"/>
        <v>0</v>
      </c>
      <c r="Y195">
        <f t="shared" si="156"/>
        <v>0</v>
      </c>
      <c r="AA195">
        <v>37598633</v>
      </c>
      <c r="AB195">
        <f>ROUND((AC195+AD195+AF195),6)</f>
        <v>63.51</v>
      </c>
      <c r="AC195">
        <f>ROUND((ES195),6)</f>
        <v>0</v>
      </c>
      <c r="AD195">
        <f>ROUND((((ET195)-(EU195))+AE195),6)</f>
        <v>63.51</v>
      </c>
      <c r="AE195">
        <f>ROUND((EU195),6)</f>
        <v>47.67</v>
      </c>
      <c r="AF195">
        <f>ROUND((EV195),6)</f>
        <v>0</v>
      </c>
      <c r="AG195">
        <f>ROUND((AP195),6)</f>
        <v>0</v>
      </c>
      <c r="AH195">
        <f>(EW195)</f>
        <v>0</v>
      </c>
      <c r="AI195">
        <f>(EX195)</f>
        <v>0</v>
      </c>
      <c r="AJ195">
        <f>ROUND((AS195),6)</f>
        <v>0</v>
      </c>
      <c r="AK195">
        <v>63.51</v>
      </c>
      <c r="AL195">
        <v>0</v>
      </c>
      <c r="AM195">
        <v>63.51</v>
      </c>
      <c r="AN195">
        <v>47.67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1</v>
      </c>
      <c r="AW195">
        <v>1</v>
      </c>
      <c r="AZ195">
        <v>1</v>
      </c>
      <c r="BA195">
        <v>1</v>
      </c>
      <c r="BB195">
        <v>1</v>
      </c>
      <c r="BC195">
        <v>1</v>
      </c>
      <c r="BD195" t="s">
        <v>3</v>
      </c>
      <c r="BE195" t="s">
        <v>3</v>
      </c>
      <c r="BF195" t="s">
        <v>3</v>
      </c>
      <c r="BG195" t="s">
        <v>3</v>
      </c>
      <c r="BH195">
        <v>0</v>
      </c>
      <c r="BI195">
        <v>4</v>
      </c>
      <c r="BJ195" t="s">
        <v>34</v>
      </c>
      <c r="BM195">
        <v>1</v>
      </c>
      <c r="BN195">
        <v>0</v>
      </c>
      <c r="BO195" t="s">
        <v>3</v>
      </c>
      <c r="BP195">
        <v>0</v>
      </c>
      <c r="BQ195">
        <v>1</v>
      </c>
      <c r="BR195">
        <v>0</v>
      </c>
      <c r="BS195">
        <v>1</v>
      </c>
      <c r="BT195">
        <v>1</v>
      </c>
      <c r="BU195">
        <v>1</v>
      </c>
      <c r="BV195">
        <v>1</v>
      </c>
      <c r="BW195">
        <v>1</v>
      </c>
      <c r="BX195">
        <v>1</v>
      </c>
      <c r="BY195" t="s">
        <v>3</v>
      </c>
      <c r="BZ195">
        <v>0</v>
      </c>
      <c r="CA195">
        <v>0</v>
      </c>
      <c r="CF195">
        <v>0</v>
      </c>
      <c r="CG195">
        <v>0</v>
      </c>
      <c r="CM195">
        <v>0</v>
      </c>
      <c r="CN195" t="s">
        <v>3</v>
      </c>
      <c r="CO195">
        <v>0</v>
      </c>
      <c r="CP195">
        <f>(P195+Q195+S195)</f>
        <v>905.37</v>
      </c>
      <c r="CQ195">
        <f>(AC195*BC195*AW195)</f>
        <v>0</v>
      </c>
      <c r="CR195">
        <f>((((ET195)*BB195-(EU195)*BS195)+AE195*BS195)*AV195)</f>
        <v>63.51</v>
      </c>
      <c r="CS195">
        <f>(AE195*BS195*AV195)</f>
        <v>47.67</v>
      </c>
      <c r="CT195">
        <f>(AF195*BA195*AV195)</f>
        <v>0</v>
      </c>
      <c r="CU195">
        <f>AG195</f>
        <v>0</v>
      </c>
      <c r="CV195">
        <f>(AH195*AV195)</f>
        <v>0</v>
      </c>
      <c r="CW195">
        <f t="shared" si="157"/>
        <v>0</v>
      </c>
      <c r="CX195">
        <f t="shared" si="157"/>
        <v>0</v>
      </c>
      <c r="CY195">
        <f>((S195*BZ195)/100)</f>
        <v>0</v>
      </c>
      <c r="CZ195">
        <f>((S195*CA195)/100)</f>
        <v>0</v>
      </c>
      <c r="DC195" t="s">
        <v>3</v>
      </c>
      <c r="DD195" t="s">
        <v>3</v>
      </c>
      <c r="DE195" t="s">
        <v>3</v>
      </c>
      <c r="DF195" t="s">
        <v>3</v>
      </c>
      <c r="DG195" t="s">
        <v>3</v>
      </c>
      <c r="DH195" t="s">
        <v>3</v>
      </c>
      <c r="DI195" t="s">
        <v>3</v>
      </c>
      <c r="DJ195" t="s">
        <v>3</v>
      </c>
      <c r="DK195" t="s">
        <v>3</v>
      </c>
      <c r="DL195" t="s">
        <v>3</v>
      </c>
      <c r="DM195" t="s">
        <v>3</v>
      </c>
      <c r="DN195">
        <v>0</v>
      </c>
      <c r="DO195">
        <v>0</v>
      </c>
      <c r="DP195">
        <v>1</v>
      </c>
      <c r="DQ195">
        <v>1</v>
      </c>
      <c r="DU195">
        <v>1009</v>
      </c>
      <c r="DV195" t="s">
        <v>29</v>
      </c>
      <c r="DW195" t="s">
        <v>29</v>
      </c>
      <c r="DX195">
        <v>1000</v>
      </c>
      <c r="EE195">
        <v>34176750</v>
      </c>
      <c r="EF195">
        <v>1</v>
      </c>
      <c r="EG195" t="s">
        <v>19</v>
      </c>
      <c r="EH195">
        <v>0</v>
      </c>
      <c r="EI195" t="s">
        <v>3</v>
      </c>
      <c r="EJ195">
        <v>4</v>
      </c>
      <c r="EK195">
        <v>1</v>
      </c>
      <c r="EL195" t="s">
        <v>35</v>
      </c>
      <c r="EM195" t="s">
        <v>21</v>
      </c>
      <c r="EO195" t="s">
        <v>3</v>
      </c>
      <c r="EQ195">
        <v>0</v>
      </c>
      <c r="ER195">
        <v>63.51</v>
      </c>
      <c r="ES195">
        <v>0</v>
      </c>
      <c r="ET195">
        <v>63.51</v>
      </c>
      <c r="EU195">
        <v>47.67</v>
      </c>
      <c r="EV195">
        <v>0</v>
      </c>
      <c r="EW195">
        <v>0</v>
      </c>
      <c r="EX195">
        <v>0</v>
      </c>
      <c r="EY195">
        <v>0</v>
      </c>
      <c r="FQ195">
        <v>0</v>
      </c>
      <c r="FR195">
        <f>ROUND(IF(AND(BH195=3,BI195=3),P195,0),2)</f>
        <v>0</v>
      </c>
      <c r="FS195">
        <v>0</v>
      </c>
      <c r="FX195">
        <v>0</v>
      </c>
      <c r="FY195">
        <v>0</v>
      </c>
      <c r="GA195" t="s">
        <v>3</v>
      </c>
      <c r="GD195">
        <v>1</v>
      </c>
      <c r="GF195">
        <v>-1761436808</v>
      </c>
      <c r="GG195">
        <v>2</v>
      </c>
      <c r="GH195">
        <v>1</v>
      </c>
      <c r="GI195">
        <v>-2</v>
      </c>
      <c r="GJ195">
        <v>0</v>
      </c>
      <c r="GK195">
        <v>0</v>
      </c>
      <c r="GL195">
        <f>ROUND(IF(AND(BH195=3,BI195=3,FS195&lt;&gt;0),P195,0),2)</f>
        <v>0</v>
      </c>
      <c r="GM195">
        <f>ROUND(O195+X195+Y195,2)+GX195</f>
        <v>905.37</v>
      </c>
      <c r="GN195">
        <f>IF(OR(BI195=0,BI195=1),ROUND(O195+X195+Y195,2),0)</f>
        <v>0</v>
      </c>
      <c r="GO195">
        <f>IF(BI195=2,ROUND(O195+X195+Y195,2),0)</f>
        <v>0</v>
      </c>
      <c r="GP195">
        <f>IF(BI195=4,ROUND(O195+X195+Y195,2)+GX195,0)</f>
        <v>905.37</v>
      </c>
      <c r="GR195">
        <v>0</v>
      </c>
      <c r="GS195">
        <v>3</v>
      </c>
      <c r="GT195">
        <v>0</v>
      </c>
      <c r="GU195" t="s">
        <v>3</v>
      </c>
      <c r="GV195">
        <f>ROUND(GT195,6)</f>
        <v>0</v>
      </c>
      <c r="GW195">
        <v>1</v>
      </c>
      <c r="GX195">
        <f>ROUND(GV195*GW195*I195,2)</f>
        <v>0</v>
      </c>
      <c r="HA195">
        <v>0</v>
      </c>
      <c r="HB195">
        <v>0</v>
      </c>
      <c r="IK195">
        <v>0</v>
      </c>
    </row>
    <row r="196" spans="1:245" x14ac:dyDescent="0.2">
      <c r="A196">
        <v>17</v>
      </c>
      <c r="B196">
        <v>1</v>
      </c>
      <c r="C196">
        <f>ROW(SmtRes!A115)</f>
        <v>115</v>
      </c>
      <c r="D196">
        <f>ROW(EtalonRes!A115)</f>
        <v>115</v>
      </c>
      <c r="E196" t="s">
        <v>155</v>
      </c>
      <c r="F196" t="s">
        <v>37</v>
      </c>
      <c r="G196" t="s">
        <v>38</v>
      </c>
      <c r="H196" t="s">
        <v>29</v>
      </c>
      <c r="I196">
        <f>ROUND(I195,9)</f>
        <v>14.2555</v>
      </c>
      <c r="J196">
        <v>0</v>
      </c>
      <c r="O196">
        <f>ROUND(CP196,2)</f>
        <v>10670.24</v>
      </c>
      <c r="P196">
        <f>ROUND(CQ196*I196,2)</f>
        <v>0</v>
      </c>
      <c r="Q196">
        <f>ROUND(CR196*I196,2)</f>
        <v>10670.24</v>
      </c>
      <c r="R196">
        <f>ROUND(CS196*I196,2)</f>
        <v>8015.15</v>
      </c>
      <c r="S196">
        <f>ROUND(CT196*I196,2)</f>
        <v>0</v>
      </c>
      <c r="T196">
        <f>ROUND(CU196*I196,2)</f>
        <v>0</v>
      </c>
      <c r="U196">
        <f>CV196*I196</f>
        <v>0</v>
      </c>
      <c r="V196">
        <f>CW196*I196</f>
        <v>0</v>
      </c>
      <c r="W196">
        <f>ROUND(CX196*I196,2)</f>
        <v>0</v>
      </c>
      <c r="X196">
        <f t="shared" si="156"/>
        <v>0</v>
      </c>
      <c r="Y196">
        <f t="shared" si="156"/>
        <v>0</v>
      </c>
      <c r="AA196">
        <v>37598633</v>
      </c>
      <c r="AB196">
        <f>ROUND((AC196+AD196+AF196),6)</f>
        <v>748.5</v>
      </c>
      <c r="AC196">
        <f>ROUND((ES196),6)</f>
        <v>0</v>
      </c>
      <c r="AD196">
        <f>ROUND(((((ET196*25))-((EU196*25)))+AE196),6)</f>
        <v>748.5</v>
      </c>
      <c r="AE196">
        <f>ROUND(((EU196*25)),6)</f>
        <v>562.25</v>
      </c>
      <c r="AF196">
        <f>ROUND(((EV196*25)),6)</f>
        <v>0</v>
      </c>
      <c r="AG196">
        <f>ROUND((AP196),6)</f>
        <v>0</v>
      </c>
      <c r="AH196">
        <f>((EW196*25))</f>
        <v>0</v>
      </c>
      <c r="AI196">
        <f>((EX196*25))</f>
        <v>0</v>
      </c>
      <c r="AJ196">
        <f>ROUND((AS196),6)</f>
        <v>0</v>
      </c>
      <c r="AK196">
        <v>29.94</v>
      </c>
      <c r="AL196">
        <v>0</v>
      </c>
      <c r="AM196">
        <v>29.94</v>
      </c>
      <c r="AN196">
        <v>22.49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1</v>
      </c>
      <c r="AW196">
        <v>1</v>
      </c>
      <c r="AZ196">
        <v>1</v>
      </c>
      <c r="BA196">
        <v>1</v>
      </c>
      <c r="BB196">
        <v>1</v>
      </c>
      <c r="BC196">
        <v>1</v>
      </c>
      <c r="BD196" t="s">
        <v>3</v>
      </c>
      <c r="BE196" t="s">
        <v>3</v>
      </c>
      <c r="BF196" t="s">
        <v>3</v>
      </c>
      <c r="BG196" t="s">
        <v>3</v>
      </c>
      <c r="BH196">
        <v>0</v>
      </c>
      <c r="BI196">
        <v>4</v>
      </c>
      <c r="BJ196" t="s">
        <v>39</v>
      </c>
      <c r="BM196">
        <v>1</v>
      </c>
      <c r="BN196">
        <v>0</v>
      </c>
      <c r="BO196" t="s">
        <v>3</v>
      </c>
      <c r="BP196">
        <v>0</v>
      </c>
      <c r="BQ196">
        <v>1</v>
      </c>
      <c r="BR196">
        <v>0</v>
      </c>
      <c r="BS196">
        <v>1</v>
      </c>
      <c r="BT196">
        <v>1</v>
      </c>
      <c r="BU196">
        <v>1</v>
      </c>
      <c r="BV196">
        <v>1</v>
      </c>
      <c r="BW196">
        <v>1</v>
      </c>
      <c r="BX196">
        <v>1</v>
      </c>
      <c r="BY196" t="s">
        <v>3</v>
      </c>
      <c r="BZ196">
        <v>0</v>
      </c>
      <c r="CA196">
        <v>0</v>
      </c>
      <c r="CF196">
        <v>0</v>
      </c>
      <c r="CG196">
        <v>0</v>
      </c>
      <c r="CM196">
        <v>0</v>
      </c>
      <c r="CN196" t="s">
        <v>3</v>
      </c>
      <c r="CO196">
        <v>0</v>
      </c>
      <c r="CP196">
        <f>(P196+Q196+S196)</f>
        <v>10670.24</v>
      </c>
      <c r="CQ196">
        <f>(AC196*BC196*AW196)</f>
        <v>0</v>
      </c>
      <c r="CR196">
        <f>(((((ET196*25))*BB196-((EU196*25))*BS196)+AE196*BS196)*AV196)</f>
        <v>748.5</v>
      </c>
      <c r="CS196">
        <f>(AE196*BS196*AV196)</f>
        <v>562.25</v>
      </c>
      <c r="CT196">
        <f>(AF196*BA196*AV196)</f>
        <v>0</v>
      </c>
      <c r="CU196">
        <f>AG196</f>
        <v>0</v>
      </c>
      <c r="CV196">
        <f>(AH196*AV196)</f>
        <v>0</v>
      </c>
      <c r="CW196">
        <f t="shared" si="157"/>
        <v>0</v>
      </c>
      <c r="CX196">
        <f t="shared" si="157"/>
        <v>0</v>
      </c>
      <c r="CY196">
        <f>((S196*BZ196)/100)</f>
        <v>0</v>
      </c>
      <c r="CZ196">
        <f>((S196*CA196)/100)</f>
        <v>0</v>
      </c>
      <c r="DC196" t="s">
        <v>3</v>
      </c>
      <c r="DD196" t="s">
        <v>3</v>
      </c>
      <c r="DE196" t="s">
        <v>40</v>
      </c>
      <c r="DF196" t="s">
        <v>40</v>
      </c>
      <c r="DG196" t="s">
        <v>40</v>
      </c>
      <c r="DH196" t="s">
        <v>3</v>
      </c>
      <c r="DI196" t="s">
        <v>40</v>
      </c>
      <c r="DJ196" t="s">
        <v>40</v>
      </c>
      <c r="DK196" t="s">
        <v>3</v>
      </c>
      <c r="DL196" t="s">
        <v>3</v>
      </c>
      <c r="DM196" t="s">
        <v>3</v>
      </c>
      <c r="DN196">
        <v>0</v>
      </c>
      <c r="DO196">
        <v>0</v>
      </c>
      <c r="DP196">
        <v>1</v>
      </c>
      <c r="DQ196">
        <v>1</v>
      </c>
      <c r="DU196">
        <v>1009</v>
      </c>
      <c r="DV196" t="s">
        <v>29</v>
      </c>
      <c r="DW196" t="s">
        <v>29</v>
      </c>
      <c r="DX196">
        <v>1000</v>
      </c>
      <c r="EE196">
        <v>34176750</v>
      </c>
      <c r="EF196">
        <v>1</v>
      </c>
      <c r="EG196" t="s">
        <v>19</v>
      </c>
      <c r="EH196">
        <v>0</v>
      </c>
      <c r="EI196" t="s">
        <v>3</v>
      </c>
      <c r="EJ196">
        <v>4</v>
      </c>
      <c r="EK196">
        <v>1</v>
      </c>
      <c r="EL196" t="s">
        <v>35</v>
      </c>
      <c r="EM196" t="s">
        <v>21</v>
      </c>
      <c r="EO196" t="s">
        <v>3</v>
      </c>
      <c r="EQ196">
        <v>0</v>
      </c>
      <c r="ER196">
        <v>29.94</v>
      </c>
      <c r="ES196">
        <v>0</v>
      </c>
      <c r="ET196">
        <v>29.94</v>
      </c>
      <c r="EU196">
        <v>22.49</v>
      </c>
      <c r="EV196">
        <v>0</v>
      </c>
      <c r="EW196">
        <v>0</v>
      </c>
      <c r="EX196">
        <v>0</v>
      </c>
      <c r="EY196">
        <v>0</v>
      </c>
      <c r="FQ196">
        <v>0</v>
      </c>
      <c r="FR196">
        <f>ROUND(IF(AND(BH196=3,BI196=3),P196,0),2)</f>
        <v>0</v>
      </c>
      <c r="FS196">
        <v>0</v>
      </c>
      <c r="FX196">
        <v>0</v>
      </c>
      <c r="FY196">
        <v>0</v>
      </c>
      <c r="GA196" t="s">
        <v>3</v>
      </c>
      <c r="GD196">
        <v>1</v>
      </c>
      <c r="GF196">
        <v>-254906126</v>
      </c>
      <c r="GG196">
        <v>2</v>
      </c>
      <c r="GH196">
        <v>1</v>
      </c>
      <c r="GI196">
        <v>-2</v>
      </c>
      <c r="GJ196">
        <v>0</v>
      </c>
      <c r="GK196">
        <v>0</v>
      </c>
      <c r="GL196">
        <f>ROUND(IF(AND(BH196=3,BI196=3,FS196&lt;&gt;0),P196,0),2)</f>
        <v>0</v>
      </c>
      <c r="GM196">
        <f>ROUND(O196+X196+Y196,2)+GX196</f>
        <v>10670.24</v>
      </c>
      <c r="GN196">
        <f>IF(OR(BI196=0,BI196=1),ROUND(O196+X196+Y196,2),0)</f>
        <v>0</v>
      </c>
      <c r="GO196">
        <f>IF(BI196=2,ROUND(O196+X196+Y196,2),0)</f>
        <v>0</v>
      </c>
      <c r="GP196">
        <f>IF(BI196=4,ROUND(O196+X196+Y196,2)+GX196,0)</f>
        <v>10670.24</v>
      </c>
      <c r="GR196">
        <v>0</v>
      </c>
      <c r="GS196">
        <v>3</v>
      </c>
      <c r="GT196">
        <v>0</v>
      </c>
      <c r="GU196" t="s">
        <v>3</v>
      </c>
      <c r="GV196">
        <f>ROUND(GT196,6)</f>
        <v>0</v>
      </c>
      <c r="GW196">
        <v>1</v>
      </c>
      <c r="GX196">
        <f>ROUND(GV196*GW196*I196,2)</f>
        <v>0</v>
      </c>
      <c r="HA196">
        <v>0</v>
      </c>
      <c r="HB196">
        <v>0</v>
      </c>
      <c r="IK196">
        <v>0</v>
      </c>
    </row>
    <row r="197" spans="1:245" x14ac:dyDescent="0.2">
      <c r="A197">
        <v>17</v>
      </c>
      <c r="B197">
        <v>1</v>
      </c>
      <c r="C197">
        <f>ROW(SmtRes!A120)</f>
        <v>120</v>
      </c>
      <c r="D197">
        <f>ROW(EtalonRes!A120)</f>
        <v>120</v>
      </c>
      <c r="E197" t="s">
        <v>156</v>
      </c>
      <c r="F197" t="s">
        <v>147</v>
      </c>
      <c r="G197" t="s">
        <v>157</v>
      </c>
      <c r="H197" t="s">
        <v>149</v>
      </c>
      <c r="I197">
        <f>ROUND(I193,9)</f>
        <v>4.4000000000000004</v>
      </c>
      <c r="J197">
        <v>0</v>
      </c>
      <c r="O197">
        <f>ROUND(CP197,2)</f>
        <v>180454.77</v>
      </c>
      <c r="P197">
        <f>ROUND(CQ197*I197,2)</f>
        <v>125961.26</v>
      </c>
      <c r="Q197">
        <f>ROUND(CR197*I197,2)</f>
        <v>620.30999999999995</v>
      </c>
      <c r="R197">
        <f>ROUND(CS197*I197,2)</f>
        <v>310.16000000000003</v>
      </c>
      <c r="S197">
        <f>ROUND(CT197*I197,2)</f>
        <v>53873.2</v>
      </c>
      <c r="T197">
        <f>ROUND(CU197*I197,2)</f>
        <v>0</v>
      </c>
      <c r="U197">
        <f>CV197*I197</f>
        <v>320.98</v>
      </c>
      <c r="V197">
        <f>CW197*I197</f>
        <v>0</v>
      </c>
      <c r="W197">
        <f>ROUND(CX197*I197,2)</f>
        <v>0</v>
      </c>
      <c r="X197">
        <f t="shared" si="156"/>
        <v>37711.24</v>
      </c>
      <c r="Y197">
        <f t="shared" si="156"/>
        <v>5387.32</v>
      </c>
      <c r="AA197">
        <v>37598633</v>
      </c>
      <c r="AB197">
        <f>ROUND((AC197+AD197+AF197),6)</f>
        <v>41012.449999999997</v>
      </c>
      <c r="AC197">
        <f>ROUND((ES197),6)</f>
        <v>28627.56</v>
      </c>
      <c r="AD197">
        <f>ROUND((((ET197)-(EU197))+AE197),6)</f>
        <v>140.97999999999999</v>
      </c>
      <c r="AE197">
        <f>ROUND((EU197),6)</f>
        <v>70.489999999999995</v>
      </c>
      <c r="AF197">
        <f>ROUND((EV197),6)</f>
        <v>12243.91</v>
      </c>
      <c r="AG197">
        <f>ROUND((AP197),6)</f>
        <v>0</v>
      </c>
      <c r="AH197">
        <f>(EW197)</f>
        <v>72.95</v>
      </c>
      <c r="AI197">
        <f>(EX197)</f>
        <v>0</v>
      </c>
      <c r="AJ197">
        <f>ROUND((AS197),6)</f>
        <v>0</v>
      </c>
      <c r="AK197">
        <v>41012.449999999997</v>
      </c>
      <c r="AL197">
        <v>28627.56</v>
      </c>
      <c r="AM197">
        <v>140.97999999999999</v>
      </c>
      <c r="AN197">
        <v>70.489999999999995</v>
      </c>
      <c r="AO197">
        <v>12243.91</v>
      </c>
      <c r="AP197">
        <v>0</v>
      </c>
      <c r="AQ197">
        <v>72.95</v>
      </c>
      <c r="AR197">
        <v>0</v>
      </c>
      <c r="AS197">
        <v>0</v>
      </c>
      <c r="AT197">
        <v>70</v>
      </c>
      <c r="AU197">
        <v>10</v>
      </c>
      <c r="AV197">
        <v>1</v>
      </c>
      <c r="AW197">
        <v>1</v>
      </c>
      <c r="AZ197">
        <v>1</v>
      </c>
      <c r="BA197">
        <v>1</v>
      </c>
      <c r="BB197">
        <v>1</v>
      </c>
      <c r="BC197">
        <v>1</v>
      </c>
      <c r="BD197" t="s">
        <v>3</v>
      </c>
      <c r="BE197" t="s">
        <v>3</v>
      </c>
      <c r="BF197" t="s">
        <v>3</v>
      </c>
      <c r="BG197" t="s">
        <v>3</v>
      </c>
      <c r="BH197">
        <v>0</v>
      </c>
      <c r="BI197">
        <v>4</v>
      </c>
      <c r="BJ197" t="s">
        <v>150</v>
      </c>
      <c r="BM197">
        <v>0</v>
      </c>
      <c r="BN197">
        <v>0</v>
      </c>
      <c r="BO197" t="s">
        <v>3</v>
      </c>
      <c r="BP197">
        <v>0</v>
      </c>
      <c r="BQ197">
        <v>1</v>
      </c>
      <c r="BR197">
        <v>0</v>
      </c>
      <c r="BS197">
        <v>1</v>
      </c>
      <c r="BT197">
        <v>1</v>
      </c>
      <c r="BU197">
        <v>1</v>
      </c>
      <c r="BV197">
        <v>1</v>
      </c>
      <c r="BW197">
        <v>1</v>
      </c>
      <c r="BX197">
        <v>1</v>
      </c>
      <c r="BY197" t="s">
        <v>3</v>
      </c>
      <c r="BZ197">
        <v>70</v>
      </c>
      <c r="CA197">
        <v>10</v>
      </c>
      <c r="CF197">
        <v>0</v>
      </c>
      <c r="CG197">
        <v>0</v>
      </c>
      <c r="CM197">
        <v>0</v>
      </c>
      <c r="CN197" t="s">
        <v>3</v>
      </c>
      <c r="CO197">
        <v>0</v>
      </c>
      <c r="CP197">
        <f>(P197+Q197+S197)</f>
        <v>180454.77</v>
      </c>
      <c r="CQ197">
        <f>(AC197*BC197*AW197)</f>
        <v>28627.56</v>
      </c>
      <c r="CR197">
        <f>((((ET197)*BB197-(EU197)*BS197)+AE197*BS197)*AV197)</f>
        <v>140.97999999999999</v>
      </c>
      <c r="CS197">
        <f>(AE197*BS197*AV197)</f>
        <v>70.489999999999995</v>
      </c>
      <c r="CT197">
        <f>(AF197*BA197*AV197)</f>
        <v>12243.91</v>
      </c>
      <c r="CU197">
        <f>AG197</f>
        <v>0</v>
      </c>
      <c r="CV197">
        <f>(AH197*AV197)</f>
        <v>72.95</v>
      </c>
      <c r="CW197">
        <f t="shared" si="157"/>
        <v>0</v>
      </c>
      <c r="CX197">
        <f t="shared" si="157"/>
        <v>0</v>
      </c>
      <c r="CY197">
        <f>((S197*BZ197)/100)</f>
        <v>37711.24</v>
      </c>
      <c r="CZ197">
        <f>((S197*CA197)/100)</f>
        <v>5387.32</v>
      </c>
      <c r="DC197" t="s">
        <v>3</v>
      </c>
      <c r="DD197" t="s">
        <v>3</v>
      </c>
      <c r="DE197" t="s">
        <v>3</v>
      </c>
      <c r="DF197" t="s">
        <v>3</v>
      </c>
      <c r="DG197" t="s">
        <v>3</v>
      </c>
      <c r="DH197" t="s">
        <v>3</v>
      </c>
      <c r="DI197" t="s">
        <v>3</v>
      </c>
      <c r="DJ197" t="s">
        <v>3</v>
      </c>
      <c r="DK197" t="s">
        <v>3</v>
      </c>
      <c r="DL197" t="s">
        <v>3</v>
      </c>
      <c r="DM197" t="s">
        <v>3</v>
      </c>
      <c r="DN197">
        <v>0</v>
      </c>
      <c r="DO197">
        <v>0</v>
      </c>
      <c r="DP197">
        <v>1</v>
      </c>
      <c r="DQ197">
        <v>1</v>
      </c>
      <c r="DU197">
        <v>1003</v>
      </c>
      <c r="DV197" t="s">
        <v>149</v>
      </c>
      <c r="DW197" t="s">
        <v>149</v>
      </c>
      <c r="DX197">
        <v>100</v>
      </c>
      <c r="EE197">
        <v>34176748</v>
      </c>
      <c r="EF197">
        <v>1</v>
      </c>
      <c r="EG197" t="s">
        <v>19</v>
      </c>
      <c r="EH197">
        <v>0</v>
      </c>
      <c r="EI197" t="s">
        <v>3</v>
      </c>
      <c r="EJ197">
        <v>4</v>
      </c>
      <c r="EK197">
        <v>0</v>
      </c>
      <c r="EL197" t="s">
        <v>20</v>
      </c>
      <c r="EM197" t="s">
        <v>21</v>
      </c>
      <c r="EO197" t="s">
        <v>3</v>
      </c>
      <c r="EQ197">
        <v>0</v>
      </c>
      <c r="ER197">
        <v>41012.449999999997</v>
      </c>
      <c r="ES197">
        <v>28627.56</v>
      </c>
      <c r="ET197">
        <v>140.97999999999999</v>
      </c>
      <c r="EU197">
        <v>70.489999999999995</v>
      </c>
      <c r="EV197">
        <v>12243.91</v>
      </c>
      <c r="EW197">
        <v>72.95</v>
      </c>
      <c r="EX197">
        <v>0</v>
      </c>
      <c r="EY197">
        <v>0</v>
      </c>
      <c r="FQ197">
        <v>0</v>
      </c>
      <c r="FR197">
        <f>ROUND(IF(AND(BH197=3,BI197=3),P197,0),2)</f>
        <v>0</v>
      </c>
      <c r="FS197">
        <v>0</v>
      </c>
      <c r="FX197">
        <v>70</v>
      </c>
      <c r="FY197">
        <v>10</v>
      </c>
      <c r="GA197" t="s">
        <v>3</v>
      </c>
      <c r="GD197">
        <v>0</v>
      </c>
      <c r="GF197">
        <v>475125351</v>
      </c>
      <c r="GG197">
        <v>2</v>
      </c>
      <c r="GH197">
        <v>1</v>
      </c>
      <c r="GI197">
        <v>-2</v>
      </c>
      <c r="GJ197">
        <v>0</v>
      </c>
      <c r="GK197">
        <f>ROUND(R197*(R12)/100,2)</f>
        <v>334.97</v>
      </c>
      <c r="GL197">
        <f>ROUND(IF(AND(BH197=3,BI197=3,FS197&lt;&gt;0),P197,0),2)</f>
        <v>0</v>
      </c>
      <c r="GM197">
        <f>ROUND(O197+X197+Y197+GK197,2)+GX197</f>
        <v>223888.3</v>
      </c>
      <c r="GN197">
        <f>IF(OR(BI197=0,BI197=1),ROUND(O197+X197+Y197+GK197,2),0)</f>
        <v>0</v>
      </c>
      <c r="GO197">
        <f>IF(BI197=2,ROUND(O197+X197+Y197+GK197,2),0)</f>
        <v>0</v>
      </c>
      <c r="GP197">
        <f>IF(BI197=4,ROUND(O197+X197+Y197+GK197,2)+GX197,0)</f>
        <v>223888.3</v>
      </c>
      <c r="GR197">
        <v>0</v>
      </c>
      <c r="GS197">
        <v>3</v>
      </c>
      <c r="GT197">
        <v>0</v>
      </c>
      <c r="GU197" t="s">
        <v>3</v>
      </c>
      <c r="GV197">
        <f>ROUND(GT197,6)</f>
        <v>0</v>
      </c>
      <c r="GW197">
        <v>1</v>
      </c>
      <c r="GX197">
        <f>ROUND(GV197*GW197*I197,2)</f>
        <v>0</v>
      </c>
      <c r="HA197">
        <v>0</v>
      </c>
      <c r="HB197">
        <v>0</v>
      </c>
      <c r="IK197">
        <v>0</v>
      </c>
    </row>
    <row r="199" spans="1:245" x14ac:dyDescent="0.2">
      <c r="A199" s="2">
        <v>51</v>
      </c>
      <c r="B199" s="2">
        <f>B189</f>
        <v>1</v>
      </c>
      <c r="C199" s="2">
        <f>A189</f>
        <v>5</v>
      </c>
      <c r="D199" s="2">
        <f>ROW(A189)</f>
        <v>189</v>
      </c>
      <c r="E199" s="2"/>
      <c r="F199" s="2" t="str">
        <f>IF(F189&lt;&gt;"",F189,"")</f>
        <v>Новый подраздел</v>
      </c>
      <c r="G199" s="2" t="str">
        <f>IF(G189&lt;&gt;"",G189,"")</f>
        <v>Замена садового бортового камня - 440м.п.</v>
      </c>
      <c r="H199" s="2">
        <v>0</v>
      </c>
      <c r="I199" s="2"/>
      <c r="J199" s="2"/>
      <c r="K199" s="2"/>
      <c r="L199" s="2"/>
      <c r="M199" s="2"/>
      <c r="N199" s="2"/>
      <c r="O199" s="2">
        <f t="shared" ref="O199:T199" si="158">ROUND(AB199,2)</f>
        <v>203921.26</v>
      </c>
      <c r="P199" s="2">
        <f t="shared" si="158"/>
        <v>125961.26</v>
      </c>
      <c r="Q199" s="2">
        <f t="shared" si="158"/>
        <v>13312.16</v>
      </c>
      <c r="R199" s="2">
        <f t="shared" si="158"/>
        <v>9465.91</v>
      </c>
      <c r="S199" s="2">
        <f t="shared" si="158"/>
        <v>64647.839999999997</v>
      </c>
      <c r="T199" s="2">
        <f t="shared" si="158"/>
        <v>0</v>
      </c>
      <c r="U199" s="2">
        <f>AH199</f>
        <v>385.17600000000004</v>
      </c>
      <c r="V199" s="2">
        <f>AI199</f>
        <v>0</v>
      </c>
      <c r="W199" s="2">
        <f>ROUND(AJ199,2)</f>
        <v>0</v>
      </c>
      <c r="X199" s="2">
        <f>ROUND(AK199,2)</f>
        <v>45253.49</v>
      </c>
      <c r="Y199" s="2">
        <f>ROUND(AL199,2)</f>
        <v>6464.78</v>
      </c>
      <c r="Z199" s="2"/>
      <c r="AA199" s="2"/>
      <c r="AB199" s="2">
        <f>ROUND(SUMIF(AA193:AA197,"=37598633",O193:O197),2)</f>
        <v>203921.26</v>
      </c>
      <c r="AC199" s="2">
        <f>ROUND(SUMIF(AA193:AA197,"=37598633",P193:P197),2)</f>
        <v>125961.26</v>
      </c>
      <c r="AD199" s="2">
        <f>ROUND(SUMIF(AA193:AA197,"=37598633",Q193:Q197),2)</f>
        <v>13312.16</v>
      </c>
      <c r="AE199" s="2">
        <f>ROUND(SUMIF(AA193:AA197,"=37598633",R193:R197),2)</f>
        <v>9465.91</v>
      </c>
      <c r="AF199" s="2">
        <f>ROUND(SUMIF(AA193:AA197,"=37598633",S193:S197),2)</f>
        <v>64647.839999999997</v>
      </c>
      <c r="AG199" s="2">
        <f>ROUND(SUMIF(AA193:AA197,"=37598633",T193:T197),2)</f>
        <v>0</v>
      </c>
      <c r="AH199" s="2">
        <f>SUMIF(AA193:AA197,"=37598633",U193:U197)</f>
        <v>385.17600000000004</v>
      </c>
      <c r="AI199" s="2">
        <f>SUMIF(AA193:AA197,"=37598633",V193:V197)</f>
        <v>0</v>
      </c>
      <c r="AJ199" s="2">
        <f>ROUND(SUMIF(AA193:AA197,"=37598633",W193:W197),2)</f>
        <v>0</v>
      </c>
      <c r="AK199" s="2">
        <f>ROUND(SUMIF(AA193:AA197,"=37598633",X193:X197),2)</f>
        <v>45253.49</v>
      </c>
      <c r="AL199" s="2">
        <f>ROUND(SUMIF(AA193:AA197,"=37598633",Y193:Y197),2)</f>
        <v>6464.78</v>
      </c>
      <c r="AM199" s="2"/>
      <c r="AN199" s="2"/>
      <c r="AO199" s="2">
        <f t="shared" ref="AO199:BC199" si="159">ROUND(BX199,2)</f>
        <v>0</v>
      </c>
      <c r="AP199" s="2">
        <f t="shared" si="159"/>
        <v>0</v>
      </c>
      <c r="AQ199" s="2">
        <f t="shared" si="159"/>
        <v>0</v>
      </c>
      <c r="AR199" s="2">
        <f t="shared" si="159"/>
        <v>256472.42</v>
      </c>
      <c r="AS199" s="2">
        <f t="shared" si="159"/>
        <v>0</v>
      </c>
      <c r="AT199" s="2">
        <f t="shared" si="159"/>
        <v>0</v>
      </c>
      <c r="AU199" s="2">
        <f t="shared" si="159"/>
        <v>256472.42</v>
      </c>
      <c r="AV199" s="2">
        <f t="shared" si="159"/>
        <v>125961.26</v>
      </c>
      <c r="AW199" s="2">
        <f t="shared" si="159"/>
        <v>125961.26</v>
      </c>
      <c r="AX199" s="2">
        <f t="shared" si="159"/>
        <v>0</v>
      </c>
      <c r="AY199" s="2">
        <f t="shared" si="159"/>
        <v>125961.26</v>
      </c>
      <c r="AZ199" s="2">
        <f t="shared" si="159"/>
        <v>0</v>
      </c>
      <c r="BA199" s="2">
        <f t="shared" si="159"/>
        <v>0</v>
      </c>
      <c r="BB199" s="2">
        <f t="shared" si="159"/>
        <v>0</v>
      </c>
      <c r="BC199" s="2">
        <f t="shared" si="159"/>
        <v>0</v>
      </c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>
        <f>ROUND(SUMIF(AA193:AA197,"=37598633",FQ193:FQ197),2)</f>
        <v>0</v>
      </c>
      <c r="BY199" s="2">
        <f>ROUND(SUMIF(AA193:AA197,"=37598633",FR193:FR197),2)</f>
        <v>0</v>
      </c>
      <c r="BZ199" s="2">
        <f>ROUND(SUMIF(AA193:AA197,"=37598633",GL193:GL197),2)</f>
        <v>0</v>
      </c>
      <c r="CA199" s="2">
        <f>ROUND(SUMIF(AA193:AA197,"=37598633",GM193:GM197),2)</f>
        <v>256472.42</v>
      </c>
      <c r="CB199" s="2">
        <f>ROUND(SUMIF(AA193:AA197,"=37598633",GN193:GN197),2)</f>
        <v>0</v>
      </c>
      <c r="CC199" s="2">
        <f>ROUND(SUMIF(AA193:AA197,"=37598633",GO193:GO197),2)</f>
        <v>0</v>
      </c>
      <c r="CD199" s="2">
        <f>ROUND(SUMIF(AA193:AA197,"=37598633",GP193:GP197),2)</f>
        <v>256472.42</v>
      </c>
      <c r="CE199" s="2">
        <f>AC199-BX199</f>
        <v>125961.26</v>
      </c>
      <c r="CF199" s="2">
        <f>AC199-BY199</f>
        <v>125961.26</v>
      </c>
      <c r="CG199" s="2">
        <f>BX199-BZ199</f>
        <v>0</v>
      </c>
      <c r="CH199" s="2">
        <f>AC199-BX199-BY199+BZ199</f>
        <v>125961.26</v>
      </c>
      <c r="CI199" s="2">
        <f>BY199-BZ199</f>
        <v>0</v>
      </c>
      <c r="CJ199" s="2">
        <f>ROUND(SUMIF(AA193:AA197,"=37598633",GX193:GX197),2)</f>
        <v>0</v>
      </c>
      <c r="CK199" s="2">
        <f>ROUND(SUMIF(AA193:AA197,"=37598633",GY193:GY197),2)</f>
        <v>0</v>
      </c>
      <c r="CL199" s="2">
        <f>ROUND(SUMIF(AA193:AA197,"=37598633",GZ193:GZ197),2)</f>
        <v>0</v>
      </c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>
        <v>0</v>
      </c>
    </row>
    <row r="201" spans="1:245" x14ac:dyDescent="0.2">
      <c r="A201" s="4">
        <v>50</v>
      </c>
      <c r="B201" s="4">
        <v>0</v>
      </c>
      <c r="C201" s="4">
        <v>0</v>
      </c>
      <c r="D201" s="4">
        <v>1</v>
      </c>
      <c r="E201" s="4">
        <v>201</v>
      </c>
      <c r="F201" s="4">
        <f>ROUND(Source!O199,O201)</f>
        <v>203921.26</v>
      </c>
      <c r="G201" s="4" t="s">
        <v>55</v>
      </c>
      <c r="H201" s="4" t="s">
        <v>56</v>
      </c>
      <c r="I201" s="4"/>
      <c r="J201" s="4"/>
      <c r="K201" s="4">
        <v>-201</v>
      </c>
      <c r="L201" s="4">
        <v>1</v>
      </c>
      <c r="M201" s="4">
        <v>3</v>
      </c>
      <c r="N201" s="4" t="s">
        <v>3</v>
      </c>
      <c r="O201" s="4">
        <v>2</v>
      </c>
      <c r="P201" s="4"/>
      <c r="Q201" s="4"/>
      <c r="R201" s="4"/>
      <c r="S201" s="4"/>
      <c r="T201" s="4"/>
      <c r="U201" s="4"/>
      <c r="V201" s="4"/>
      <c r="W201" s="4"/>
    </row>
    <row r="202" spans="1:245" x14ac:dyDescent="0.2">
      <c r="A202" s="4">
        <v>50</v>
      </c>
      <c r="B202" s="4">
        <v>0</v>
      </c>
      <c r="C202" s="4">
        <v>0</v>
      </c>
      <c r="D202" s="4">
        <v>1</v>
      </c>
      <c r="E202" s="4">
        <v>202</v>
      </c>
      <c r="F202" s="4">
        <f>ROUND(Source!P199,O202)</f>
        <v>125961.26</v>
      </c>
      <c r="G202" s="4" t="s">
        <v>57</v>
      </c>
      <c r="H202" s="4" t="s">
        <v>58</v>
      </c>
      <c r="I202" s="4"/>
      <c r="J202" s="4"/>
      <c r="K202" s="4">
        <v>-202</v>
      </c>
      <c r="L202" s="4">
        <v>2</v>
      </c>
      <c r="M202" s="4">
        <v>3</v>
      </c>
      <c r="N202" s="4" t="s">
        <v>3</v>
      </c>
      <c r="O202" s="4">
        <v>2</v>
      </c>
      <c r="P202" s="4"/>
      <c r="Q202" s="4"/>
      <c r="R202" s="4"/>
      <c r="S202" s="4"/>
      <c r="T202" s="4"/>
      <c r="U202" s="4"/>
      <c r="V202" s="4"/>
      <c r="W202" s="4"/>
    </row>
    <row r="203" spans="1:245" x14ac:dyDescent="0.2">
      <c r="A203" s="4">
        <v>50</v>
      </c>
      <c r="B203" s="4">
        <v>0</v>
      </c>
      <c r="C203" s="4">
        <v>0</v>
      </c>
      <c r="D203" s="4">
        <v>1</v>
      </c>
      <c r="E203" s="4">
        <v>222</v>
      </c>
      <c r="F203" s="4">
        <f>ROUND(Source!AO199,O203)</f>
        <v>0</v>
      </c>
      <c r="G203" s="4" t="s">
        <v>59</v>
      </c>
      <c r="H203" s="4" t="s">
        <v>60</v>
      </c>
      <c r="I203" s="4"/>
      <c r="J203" s="4"/>
      <c r="K203" s="4">
        <v>-222</v>
      </c>
      <c r="L203" s="4">
        <v>3</v>
      </c>
      <c r="M203" s="4">
        <v>3</v>
      </c>
      <c r="N203" s="4" t="s">
        <v>3</v>
      </c>
      <c r="O203" s="4">
        <v>2</v>
      </c>
      <c r="P203" s="4"/>
      <c r="Q203" s="4"/>
      <c r="R203" s="4"/>
      <c r="S203" s="4"/>
      <c r="T203" s="4"/>
      <c r="U203" s="4"/>
      <c r="V203" s="4"/>
      <c r="W203" s="4"/>
    </row>
    <row r="204" spans="1:245" x14ac:dyDescent="0.2">
      <c r="A204" s="4">
        <v>50</v>
      </c>
      <c r="B204" s="4">
        <v>0</v>
      </c>
      <c r="C204" s="4">
        <v>0</v>
      </c>
      <c r="D204" s="4">
        <v>1</v>
      </c>
      <c r="E204" s="4">
        <v>225</v>
      </c>
      <c r="F204" s="4">
        <f>ROUND(Source!AV199,O204)</f>
        <v>125961.26</v>
      </c>
      <c r="G204" s="4" t="s">
        <v>61</v>
      </c>
      <c r="H204" s="4" t="s">
        <v>62</v>
      </c>
      <c r="I204" s="4"/>
      <c r="J204" s="4"/>
      <c r="K204" s="4">
        <v>-225</v>
      </c>
      <c r="L204" s="4">
        <v>4</v>
      </c>
      <c r="M204" s="4">
        <v>3</v>
      </c>
      <c r="N204" s="4" t="s">
        <v>3</v>
      </c>
      <c r="O204" s="4">
        <v>2</v>
      </c>
      <c r="P204" s="4"/>
      <c r="Q204" s="4"/>
      <c r="R204" s="4"/>
      <c r="S204" s="4"/>
      <c r="T204" s="4"/>
      <c r="U204" s="4"/>
      <c r="V204" s="4"/>
      <c r="W204" s="4"/>
    </row>
    <row r="205" spans="1:245" x14ac:dyDescent="0.2">
      <c r="A205" s="4">
        <v>50</v>
      </c>
      <c r="B205" s="4">
        <v>0</v>
      </c>
      <c r="C205" s="4">
        <v>0</v>
      </c>
      <c r="D205" s="4">
        <v>1</v>
      </c>
      <c r="E205" s="4">
        <v>226</v>
      </c>
      <c r="F205" s="4">
        <f>ROUND(Source!AW199,O205)</f>
        <v>125961.26</v>
      </c>
      <c r="G205" s="4" t="s">
        <v>63</v>
      </c>
      <c r="H205" s="4" t="s">
        <v>64</v>
      </c>
      <c r="I205" s="4"/>
      <c r="J205" s="4"/>
      <c r="K205" s="4">
        <v>-226</v>
      </c>
      <c r="L205" s="4">
        <v>5</v>
      </c>
      <c r="M205" s="4">
        <v>3</v>
      </c>
      <c r="N205" s="4" t="s">
        <v>3</v>
      </c>
      <c r="O205" s="4">
        <v>2</v>
      </c>
      <c r="P205" s="4"/>
      <c r="Q205" s="4"/>
      <c r="R205" s="4"/>
      <c r="S205" s="4"/>
      <c r="T205" s="4"/>
      <c r="U205" s="4"/>
      <c r="V205" s="4"/>
      <c r="W205" s="4"/>
    </row>
    <row r="206" spans="1:245" x14ac:dyDescent="0.2">
      <c r="A206" s="4">
        <v>50</v>
      </c>
      <c r="B206" s="4">
        <v>0</v>
      </c>
      <c r="C206" s="4">
        <v>0</v>
      </c>
      <c r="D206" s="4">
        <v>1</v>
      </c>
      <c r="E206" s="4">
        <v>227</v>
      </c>
      <c r="F206" s="4">
        <f>ROUND(Source!AX199,O206)</f>
        <v>0</v>
      </c>
      <c r="G206" s="4" t="s">
        <v>65</v>
      </c>
      <c r="H206" s="4" t="s">
        <v>66</v>
      </c>
      <c r="I206" s="4"/>
      <c r="J206" s="4"/>
      <c r="K206" s="4">
        <v>-227</v>
      </c>
      <c r="L206" s="4">
        <v>6</v>
      </c>
      <c r="M206" s="4">
        <v>3</v>
      </c>
      <c r="N206" s="4" t="s">
        <v>3</v>
      </c>
      <c r="O206" s="4">
        <v>2</v>
      </c>
      <c r="P206" s="4"/>
      <c r="Q206" s="4"/>
      <c r="R206" s="4"/>
      <c r="S206" s="4"/>
      <c r="T206" s="4"/>
      <c r="U206" s="4"/>
      <c r="V206" s="4"/>
      <c r="W206" s="4"/>
    </row>
    <row r="207" spans="1:245" x14ac:dyDescent="0.2">
      <c r="A207" s="4">
        <v>50</v>
      </c>
      <c r="B207" s="4">
        <v>0</v>
      </c>
      <c r="C207" s="4">
        <v>0</v>
      </c>
      <c r="D207" s="4">
        <v>1</v>
      </c>
      <c r="E207" s="4">
        <v>228</v>
      </c>
      <c r="F207" s="4">
        <f>ROUND(Source!AY199,O207)</f>
        <v>125961.26</v>
      </c>
      <c r="G207" s="4" t="s">
        <v>67</v>
      </c>
      <c r="H207" s="4" t="s">
        <v>68</v>
      </c>
      <c r="I207" s="4"/>
      <c r="J207" s="4"/>
      <c r="K207" s="4">
        <v>-228</v>
      </c>
      <c r="L207" s="4">
        <v>7</v>
      </c>
      <c r="M207" s="4">
        <v>3</v>
      </c>
      <c r="N207" s="4" t="s">
        <v>3</v>
      </c>
      <c r="O207" s="4">
        <v>2</v>
      </c>
      <c r="P207" s="4"/>
      <c r="Q207" s="4"/>
      <c r="R207" s="4"/>
      <c r="S207" s="4"/>
      <c r="T207" s="4"/>
      <c r="U207" s="4"/>
      <c r="V207" s="4"/>
      <c r="W207" s="4"/>
    </row>
    <row r="208" spans="1:245" x14ac:dyDescent="0.2">
      <c r="A208" s="4">
        <v>50</v>
      </c>
      <c r="B208" s="4">
        <v>0</v>
      </c>
      <c r="C208" s="4">
        <v>0</v>
      </c>
      <c r="D208" s="4">
        <v>1</v>
      </c>
      <c r="E208" s="4">
        <v>216</v>
      </c>
      <c r="F208" s="4">
        <f>ROUND(Source!AP199,O208)</f>
        <v>0</v>
      </c>
      <c r="G208" s="4" t="s">
        <v>69</v>
      </c>
      <c r="H208" s="4" t="s">
        <v>70</v>
      </c>
      <c r="I208" s="4"/>
      <c r="J208" s="4"/>
      <c r="K208" s="4">
        <v>-216</v>
      </c>
      <c r="L208" s="4">
        <v>8</v>
      </c>
      <c r="M208" s="4">
        <v>3</v>
      </c>
      <c r="N208" s="4" t="s">
        <v>3</v>
      </c>
      <c r="O208" s="4">
        <v>2</v>
      </c>
      <c r="P208" s="4"/>
      <c r="Q208" s="4"/>
      <c r="R208" s="4"/>
      <c r="S208" s="4"/>
      <c r="T208" s="4"/>
      <c r="U208" s="4"/>
      <c r="V208" s="4"/>
      <c r="W208" s="4"/>
    </row>
    <row r="209" spans="1:23" x14ac:dyDescent="0.2">
      <c r="A209" s="4">
        <v>50</v>
      </c>
      <c r="B209" s="4">
        <v>0</v>
      </c>
      <c r="C209" s="4">
        <v>0</v>
      </c>
      <c r="D209" s="4">
        <v>1</v>
      </c>
      <c r="E209" s="4">
        <v>223</v>
      </c>
      <c r="F209" s="4">
        <f>ROUND(Source!AQ199,O209)</f>
        <v>0</v>
      </c>
      <c r="G209" s="4" t="s">
        <v>71</v>
      </c>
      <c r="H209" s="4" t="s">
        <v>72</v>
      </c>
      <c r="I209" s="4"/>
      <c r="J209" s="4"/>
      <c r="K209" s="4">
        <v>-223</v>
      </c>
      <c r="L209" s="4">
        <v>9</v>
      </c>
      <c r="M209" s="4">
        <v>3</v>
      </c>
      <c r="N209" s="4" t="s">
        <v>3</v>
      </c>
      <c r="O209" s="4">
        <v>2</v>
      </c>
      <c r="P209" s="4"/>
      <c r="Q209" s="4"/>
      <c r="R209" s="4"/>
      <c r="S209" s="4"/>
      <c r="T209" s="4"/>
      <c r="U209" s="4"/>
      <c r="V209" s="4"/>
      <c r="W209" s="4"/>
    </row>
    <row r="210" spans="1:23" x14ac:dyDescent="0.2">
      <c r="A210" s="4">
        <v>50</v>
      </c>
      <c r="B210" s="4">
        <v>0</v>
      </c>
      <c r="C210" s="4">
        <v>0</v>
      </c>
      <c r="D210" s="4">
        <v>1</v>
      </c>
      <c r="E210" s="4">
        <v>229</v>
      </c>
      <c r="F210" s="4">
        <f>ROUND(Source!AZ199,O210)</f>
        <v>0</v>
      </c>
      <c r="G210" s="4" t="s">
        <v>73</v>
      </c>
      <c r="H210" s="4" t="s">
        <v>74</v>
      </c>
      <c r="I210" s="4"/>
      <c r="J210" s="4"/>
      <c r="K210" s="4">
        <v>-229</v>
      </c>
      <c r="L210" s="4">
        <v>10</v>
      </c>
      <c r="M210" s="4">
        <v>3</v>
      </c>
      <c r="N210" s="4" t="s">
        <v>3</v>
      </c>
      <c r="O210" s="4">
        <v>2</v>
      </c>
      <c r="P210" s="4"/>
      <c r="Q210" s="4"/>
      <c r="R210" s="4"/>
      <c r="S210" s="4"/>
      <c r="T210" s="4"/>
      <c r="U210" s="4"/>
      <c r="V210" s="4"/>
      <c r="W210" s="4"/>
    </row>
    <row r="211" spans="1:23" x14ac:dyDescent="0.2">
      <c r="A211" s="4">
        <v>50</v>
      </c>
      <c r="B211" s="4">
        <v>0</v>
      </c>
      <c r="C211" s="4">
        <v>0</v>
      </c>
      <c r="D211" s="4">
        <v>1</v>
      </c>
      <c r="E211" s="4">
        <v>203</v>
      </c>
      <c r="F211" s="4">
        <f>ROUND(Source!Q199,O211)</f>
        <v>13312.16</v>
      </c>
      <c r="G211" s="4" t="s">
        <v>75</v>
      </c>
      <c r="H211" s="4" t="s">
        <v>76</v>
      </c>
      <c r="I211" s="4"/>
      <c r="J211" s="4"/>
      <c r="K211" s="4">
        <v>-203</v>
      </c>
      <c r="L211" s="4">
        <v>11</v>
      </c>
      <c r="M211" s="4">
        <v>3</v>
      </c>
      <c r="N211" s="4" t="s">
        <v>3</v>
      </c>
      <c r="O211" s="4">
        <v>2</v>
      </c>
      <c r="P211" s="4"/>
      <c r="Q211" s="4"/>
      <c r="R211" s="4"/>
      <c r="S211" s="4"/>
      <c r="T211" s="4"/>
      <c r="U211" s="4"/>
      <c r="V211" s="4"/>
      <c r="W211" s="4"/>
    </row>
    <row r="212" spans="1:23" x14ac:dyDescent="0.2">
      <c r="A212" s="4">
        <v>50</v>
      </c>
      <c r="B212" s="4">
        <v>0</v>
      </c>
      <c r="C212" s="4">
        <v>0</v>
      </c>
      <c r="D212" s="4">
        <v>1</v>
      </c>
      <c r="E212" s="4">
        <v>231</v>
      </c>
      <c r="F212" s="4">
        <f>ROUND(Source!BB199,O212)</f>
        <v>0</v>
      </c>
      <c r="G212" s="4" t="s">
        <v>77</v>
      </c>
      <c r="H212" s="4" t="s">
        <v>78</v>
      </c>
      <c r="I212" s="4"/>
      <c r="J212" s="4"/>
      <c r="K212" s="4">
        <v>-231</v>
      </c>
      <c r="L212" s="4">
        <v>12</v>
      </c>
      <c r="M212" s="4">
        <v>3</v>
      </c>
      <c r="N212" s="4" t="s">
        <v>3</v>
      </c>
      <c r="O212" s="4">
        <v>2</v>
      </c>
      <c r="P212" s="4"/>
      <c r="Q212" s="4"/>
      <c r="R212" s="4"/>
      <c r="S212" s="4"/>
      <c r="T212" s="4"/>
      <c r="U212" s="4"/>
      <c r="V212" s="4"/>
      <c r="W212" s="4"/>
    </row>
    <row r="213" spans="1:23" x14ac:dyDescent="0.2">
      <c r="A213" s="4">
        <v>50</v>
      </c>
      <c r="B213" s="4">
        <v>0</v>
      </c>
      <c r="C213" s="4">
        <v>0</v>
      </c>
      <c r="D213" s="4">
        <v>1</v>
      </c>
      <c r="E213" s="4">
        <v>204</v>
      </c>
      <c r="F213" s="4">
        <f>ROUND(Source!R199,O213)</f>
        <v>9465.91</v>
      </c>
      <c r="G213" s="4" t="s">
        <v>79</v>
      </c>
      <c r="H213" s="4" t="s">
        <v>80</v>
      </c>
      <c r="I213" s="4"/>
      <c r="J213" s="4"/>
      <c r="K213" s="4">
        <v>-204</v>
      </c>
      <c r="L213" s="4">
        <v>13</v>
      </c>
      <c r="M213" s="4">
        <v>3</v>
      </c>
      <c r="N213" s="4" t="s">
        <v>3</v>
      </c>
      <c r="O213" s="4">
        <v>2</v>
      </c>
      <c r="P213" s="4"/>
      <c r="Q213" s="4"/>
      <c r="R213" s="4"/>
      <c r="S213" s="4"/>
      <c r="T213" s="4"/>
      <c r="U213" s="4"/>
      <c r="V213" s="4"/>
      <c r="W213" s="4"/>
    </row>
    <row r="214" spans="1:23" x14ac:dyDescent="0.2">
      <c r="A214" s="4">
        <v>50</v>
      </c>
      <c r="B214" s="4">
        <v>0</v>
      </c>
      <c r="C214" s="4">
        <v>0</v>
      </c>
      <c r="D214" s="4">
        <v>1</v>
      </c>
      <c r="E214" s="4">
        <v>205</v>
      </c>
      <c r="F214" s="4">
        <f>ROUND(Source!S199,O214)</f>
        <v>64647.839999999997</v>
      </c>
      <c r="G214" s="4" t="s">
        <v>81</v>
      </c>
      <c r="H214" s="4" t="s">
        <v>82</v>
      </c>
      <c r="I214" s="4"/>
      <c r="J214" s="4"/>
      <c r="K214" s="4">
        <v>-205</v>
      </c>
      <c r="L214" s="4">
        <v>14</v>
      </c>
      <c r="M214" s="4">
        <v>3</v>
      </c>
      <c r="N214" s="4" t="s">
        <v>3</v>
      </c>
      <c r="O214" s="4">
        <v>2</v>
      </c>
      <c r="P214" s="4"/>
      <c r="Q214" s="4"/>
      <c r="R214" s="4"/>
      <c r="S214" s="4"/>
      <c r="T214" s="4"/>
      <c r="U214" s="4"/>
      <c r="V214" s="4"/>
      <c r="W214" s="4"/>
    </row>
    <row r="215" spans="1:23" x14ac:dyDescent="0.2">
      <c r="A215" s="4">
        <v>50</v>
      </c>
      <c r="B215" s="4">
        <v>0</v>
      </c>
      <c r="C215" s="4">
        <v>0</v>
      </c>
      <c r="D215" s="4">
        <v>1</v>
      </c>
      <c r="E215" s="4">
        <v>232</v>
      </c>
      <c r="F215" s="4">
        <f>ROUND(Source!BC199,O215)</f>
        <v>0</v>
      </c>
      <c r="G215" s="4" t="s">
        <v>83</v>
      </c>
      <c r="H215" s="4" t="s">
        <v>84</v>
      </c>
      <c r="I215" s="4"/>
      <c r="J215" s="4"/>
      <c r="K215" s="4">
        <v>-232</v>
      </c>
      <c r="L215" s="4">
        <v>15</v>
      </c>
      <c r="M215" s="4">
        <v>3</v>
      </c>
      <c r="N215" s="4" t="s">
        <v>3</v>
      </c>
      <c r="O215" s="4">
        <v>2</v>
      </c>
      <c r="P215" s="4"/>
      <c r="Q215" s="4"/>
      <c r="R215" s="4"/>
      <c r="S215" s="4"/>
      <c r="T215" s="4"/>
      <c r="U215" s="4"/>
      <c r="V215" s="4"/>
      <c r="W215" s="4"/>
    </row>
    <row r="216" spans="1:23" x14ac:dyDescent="0.2">
      <c r="A216" s="4">
        <v>50</v>
      </c>
      <c r="B216" s="4">
        <v>0</v>
      </c>
      <c r="C216" s="4">
        <v>0</v>
      </c>
      <c r="D216" s="4">
        <v>1</v>
      </c>
      <c r="E216" s="4">
        <v>214</v>
      </c>
      <c r="F216" s="4">
        <f>ROUND(Source!AS199,O216)</f>
        <v>0</v>
      </c>
      <c r="G216" s="4" t="s">
        <v>85</v>
      </c>
      <c r="H216" s="4" t="s">
        <v>86</v>
      </c>
      <c r="I216" s="4"/>
      <c r="J216" s="4"/>
      <c r="K216" s="4">
        <v>-214</v>
      </c>
      <c r="L216" s="4">
        <v>16</v>
      </c>
      <c r="M216" s="4">
        <v>3</v>
      </c>
      <c r="N216" s="4" t="s">
        <v>3</v>
      </c>
      <c r="O216" s="4">
        <v>2</v>
      </c>
      <c r="P216" s="4"/>
      <c r="Q216" s="4"/>
      <c r="R216" s="4"/>
      <c r="S216" s="4"/>
      <c r="T216" s="4"/>
      <c r="U216" s="4"/>
      <c r="V216" s="4"/>
      <c r="W216" s="4"/>
    </row>
    <row r="217" spans="1:23" x14ac:dyDescent="0.2">
      <c r="A217" s="4">
        <v>50</v>
      </c>
      <c r="B217" s="4">
        <v>0</v>
      </c>
      <c r="C217" s="4">
        <v>0</v>
      </c>
      <c r="D217" s="4">
        <v>1</v>
      </c>
      <c r="E217" s="4">
        <v>215</v>
      </c>
      <c r="F217" s="4">
        <f>ROUND(Source!AT199,O217)</f>
        <v>0</v>
      </c>
      <c r="G217" s="4" t="s">
        <v>87</v>
      </c>
      <c r="H217" s="4" t="s">
        <v>88</v>
      </c>
      <c r="I217" s="4"/>
      <c r="J217" s="4"/>
      <c r="K217" s="4">
        <v>-215</v>
      </c>
      <c r="L217" s="4">
        <v>17</v>
      </c>
      <c r="M217" s="4">
        <v>3</v>
      </c>
      <c r="N217" s="4" t="s">
        <v>3</v>
      </c>
      <c r="O217" s="4">
        <v>2</v>
      </c>
      <c r="P217" s="4"/>
      <c r="Q217" s="4"/>
      <c r="R217" s="4"/>
      <c r="S217" s="4"/>
      <c r="T217" s="4"/>
      <c r="U217" s="4"/>
      <c r="V217" s="4"/>
      <c r="W217" s="4"/>
    </row>
    <row r="218" spans="1:23" x14ac:dyDescent="0.2">
      <c r="A218" s="4">
        <v>50</v>
      </c>
      <c r="B218" s="4">
        <v>0</v>
      </c>
      <c r="C218" s="4">
        <v>0</v>
      </c>
      <c r="D218" s="4">
        <v>1</v>
      </c>
      <c r="E218" s="4">
        <v>217</v>
      </c>
      <c r="F218" s="4">
        <f>ROUND(Source!AU199,O218)</f>
        <v>256472.42</v>
      </c>
      <c r="G218" s="4" t="s">
        <v>89</v>
      </c>
      <c r="H218" s="4" t="s">
        <v>90</v>
      </c>
      <c r="I218" s="4"/>
      <c r="J218" s="4"/>
      <c r="K218" s="4">
        <v>-217</v>
      </c>
      <c r="L218" s="4">
        <v>18</v>
      </c>
      <c r="M218" s="4">
        <v>3</v>
      </c>
      <c r="N218" s="4" t="s">
        <v>3</v>
      </c>
      <c r="O218" s="4">
        <v>2</v>
      </c>
      <c r="P218" s="4"/>
      <c r="Q218" s="4"/>
      <c r="R218" s="4"/>
      <c r="S218" s="4"/>
      <c r="T218" s="4"/>
      <c r="U218" s="4"/>
      <c r="V218" s="4"/>
      <c r="W218" s="4"/>
    </row>
    <row r="219" spans="1:23" x14ac:dyDescent="0.2">
      <c r="A219" s="4">
        <v>50</v>
      </c>
      <c r="B219" s="4">
        <v>0</v>
      </c>
      <c r="C219" s="4">
        <v>0</v>
      </c>
      <c r="D219" s="4">
        <v>1</v>
      </c>
      <c r="E219" s="4">
        <v>230</v>
      </c>
      <c r="F219" s="4">
        <f>ROUND(Source!BA199,O219)</f>
        <v>0</v>
      </c>
      <c r="G219" s="4" t="s">
        <v>91</v>
      </c>
      <c r="H219" s="4" t="s">
        <v>92</v>
      </c>
      <c r="I219" s="4"/>
      <c r="J219" s="4"/>
      <c r="K219" s="4">
        <v>-230</v>
      </c>
      <c r="L219" s="4">
        <v>19</v>
      </c>
      <c r="M219" s="4">
        <v>3</v>
      </c>
      <c r="N219" s="4" t="s">
        <v>3</v>
      </c>
      <c r="O219" s="4">
        <v>2</v>
      </c>
      <c r="P219" s="4"/>
      <c r="Q219" s="4"/>
      <c r="R219" s="4"/>
      <c r="S219" s="4"/>
      <c r="T219" s="4"/>
      <c r="U219" s="4"/>
      <c r="V219" s="4"/>
      <c r="W219" s="4"/>
    </row>
    <row r="220" spans="1:23" x14ac:dyDescent="0.2">
      <c r="A220" s="4">
        <v>50</v>
      </c>
      <c r="B220" s="4">
        <v>0</v>
      </c>
      <c r="C220" s="4">
        <v>0</v>
      </c>
      <c r="D220" s="4">
        <v>1</v>
      </c>
      <c r="E220" s="4">
        <v>206</v>
      </c>
      <c r="F220" s="4">
        <f>ROUND(Source!T199,O220)</f>
        <v>0</v>
      </c>
      <c r="G220" s="4" t="s">
        <v>93</v>
      </c>
      <c r="H220" s="4" t="s">
        <v>94</v>
      </c>
      <c r="I220" s="4"/>
      <c r="J220" s="4"/>
      <c r="K220" s="4">
        <v>-206</v>
      </c>
      <c r="L220" s="4">
        <v>20</v>
      </c>
      <c r="M220" s="4">
        <v>3</v>
      </c>
      <c r="N220" s="4" t="s">
        <v>3</v>
      </c>
      <c r="O220" s="4">
        <v>2</v>
      </c>
      <c r="P220" s="4"/>
      <c r="Q220" s="4"/>
      <c r="R220" s="4"/>
      <c r="S220" s="4"/>
      <c r="T220" s="4"/>
      <c r="U220" s="4"/>
      <c r="V220" s="4"/>
      <c r="W220" s="4"/>
    </row>
    <row r="221" spans="1:23" x14ac:dyDescent="0.2">
      <c r="A221" s="4">
        <v>50</v>
      </c>
      <c r="B221" s="4">
        <v>0</v>
      </c>
      <c r="C221" s="4">
        <v>0</v>
      </c>
      <c r="D221" s="4">
        <v>1</v>
      </c>
      <c r="E221" s="4">
        <v>207</v>
      </c>
      <c r="F221" s="4">
        <f>Source!U199</f>
        <v>385.17600000000004</v>
      </c>
      <c r="G221" s="4" t="s">
        <v>95</v>
      </c>
      <c r="H221" s="4" t="s">
        <v>96</v>
      </c>
      <c r="I221" s="4"/>
      <c r="J221" s="4"/>
      <c r="K221" s="4">
        <v>-207</v>
      </c>
      <c r="L221" s="4">
        <v>21</v>
      </c>
      <c r="M221" s="4">
        <v>3</v>
      </c>
      <c r="N221" s="4" t="s">
        <v>3</v>
      </c>
      <c r="O221" s="4">
        <v>-1</v>
      </c>
      <c r="P221" s="4"/>
      <c r="Q221" s="4"/>
      <c r="R221" s="4"/>
      <c r="S221" s="4"/>
      <c r="T221" s="4"/>
      <c r="U221" s="4"/>
      <c r="V221" s="4"/>
      <c r="W221" s="4"/>
    </row>
    <row r="222" spans="1:23" x14ac:dyDescent="0.2">
      <c r="A222" s="4">
        <v>50</v>
      </c>
      <c r="B222" s="4">
        <v>0</v>
      </c>
      <c r="C222" s="4">
        <v>0</v>
      </c>
      <c r="D222" s="4">
        <v>1</v>
      </c>
      <c r="E222" s="4">
        <v>208</v>
      </c>
      <c r="F222" s="4">
        <f>Source!V199</f>
        <v>0</v>
      </c>
      <c r="G222" s="4" t="s">
        <v>97</v>
      </c>
      <c r="H222" s="4" t="s">
        <v>98</v>
      </c>
      <c r="I222" s="4"/>
      <c r="J222" s="4"/>
      <c r="K222" s="4">
        <v>-208</v>
      </c>
      <c r="L222" s="4">
        <v>22</v>
      </c>
      <c r="M222" s="4">
        <v>3</v>
      </c>
      <c r="N222" s="4" t="s">
        <v>3</v>
      </c>
      <c r="O222" s="4">
        <v>-1</v>
      </c>
      <c r="P222" s="4"/>
      <c r="Q222" s="4"/>
      <c r="R222" s="4"/>
      <c r="S222" s="4"/>
      <c r="T222" s="4"/>
      <c r="U222" s="4"/>
      <c r="V222" s="4"/>
      <c r="W222" s="4"/>
    </row>
    <row r="223" spans="1:23" x14ac:dyDescent="0.2">
      <c r="A223" s="4">
        <v>50</v>
      </c>
      <c r="B223" s="4">
        <v>0</v>
      </c>
      <c r="C223" s="4">
        <v>0</v>
      </c>
      <c r="D223" s="4">
        <v>1</v>
      </c>
      <c r="E223" s="4">
        <v>209</v>
      </c>
      <c r="F223" s="4">
        <f>ROUND(Source!W199,O223)</f>
        <v>0</v>
      </c>
      <c r="G223" s="4" t="s">
        <v>99</v>
      </c>
      <c r="H223" s="4" t="s">
        <v>100</v>
      </c>
      <c r="I223" s="4"/>
      <c r="J223" s="4"/>
      <c r="K223" s="4">
        <v>-209</v>
      </c>
      <c r="L223" s="4">
        <v>23</v>
      </c>
      <c r="M223" s="4">
        <v>3</v>
      </c>
      <c r="N223" s="4" t="s">
        <v>3</v>
      </c>
      <c r="O223" s="4">
        <v>2</v>
      </c>
      <c r="P223" s="4"/>
      <c r="Q223" s="4"/>
      <c r="R223" s="4"/>
      <c r="S223" s="4"/>
      <c r="T223" s="4"/>
      <c r="U223" s="4"/>
      <c r="V223" s="4"/>
      <c r="W223" s="4"/>
    </row>
    <row r="224" spans="1:23" x14ac:dyDescent="0.2">
      <c r="A224" s="4">
        <v>50</v>
      </c>
      <c r="B224" s="4">
        <v>0</v>
      </c>
      <c r="C224" s="4">
        <v>0</v>
      </c>
      <c r="D224" s="4">
        <v>1</v>
      </c>
      <c r="E224" s="4">
        <v>210</v>
      </c>
      <c r="F224" s="4">
        <f>ROUND(Source!X199,O224)</f>
        <v>45253.49</v>
      </c>
      <c r="G224" s="4" t="s">
        <v>101</v>
      </c>
      <c r="H224" s="4" t="s">
        <v>102</v>
      </c>
      <c r="I224" s="4"/>
      <c r="J224" s="4"/>
      <c r="K224" s="4">
        <v>-210</v>
      </c>
      <c r="L224" s="4">
        <v>24</v>
      </c>
      <c r="M224" s="4">
        <v>3</v>
      </c>
      <c r="N224" s="4" t="s">
        <v>3</v>
      </c>
      <c r="O224" s="4">
        <v>2</v>
      </c>
      <c r="P224" s="4"/>
      <c r="Q224" s="4"/>
      <c r="R224" s="4"/>
      <c r="S224" s="4"/>
      <c r="T224" s="4"/>
      <c r="U224" s="4"/>
      <c r="V224" s="4"/>
      <c r="W224" s="4"/>
    </row>
    <row r="225" spans="1:206" x14ac:dyDescent="0.2">
      <c r="A225" s="4">
        <v>50</v>
      </c>
      <c r="B225" s="4">
        <v>0</v>
      </c>
      <c r="C225" s="4">
        <v>0</v>
      </c>
      <c r="D225" s="4">
        <v>1</v>
      </c>
      <c r="E225" s="4">
        <v>211</v>
      </c>
      <c r="F225" s="4">
        <f>ROUND(Source!Y199,O225)</f>
        <v>6464.78</v>
      </c>
      <c r="G225" s="4" t="s">
        <v>103</v>
      </c>
      <c r="H225" s="4" t="s">
        <v>104</v>
      </c>
      <c r="I225" s="4"/>
      <c r="J225" s="4"/>
      <c r="K225" s="4">
        <v>-211</v>
      </c>
      <c r="L225" s="4">
        <v>25</v>
      </c>
      <c r="M225" s="4">
        <v>3</v>
      </c>
      <c r="N225" s="4" t="s">
        <v>3</v>
      </c>
      <c r="O225" s="4">
        <v>2</v>
      </c>
      <c r="P225" s="4"/>
      <c r="Q225" s="4"/>
      <c r="R225" s="4"/>
      <c r="S225" s="4"/>
      <c r="T225" s="4"/>
      <c r="U225" s="4"/>
      <c r="V225" s="4"/>
      <c r="W225" s="4"/>
    </row>
    <row r="226" spans="1:206" x14ac:dyDescent="0.2">
      <c r="A226" s="4">
        <v>50</v>
      </c>
      <c r="B226" s="4">
        <v>0</v>
      </c>
      <c r="C226" s="4">
        <v>0</v>
      </c>
      <c r="D226" s="4">
        <v>1</v>
      </c>
      <c r="E226" s="4">
        <v>224</v>
      </c>
      <c r="F226" s="4">
        <f>ROUND(Source!AR199,O226)</f>
        <v>256472.42</v>
      </c>
      <c r="G226" s="4" t="s">
        <v>105</v>
      </c>
      <c r="H226" s="4" t="s">
        <v>106</v>
      </c>
      <c r="I226" s="4"/>
      <c r="J226" s="4"/>
      <c r="K226" s="4">
        <v>-224</v>
      </c>
      <c r="L226" s="4">
        <v>26</v>
      </c>
      <c r="M226" s="4">
        <v>3</v>
      </c>
      <c r="N226" s="4" t="s">
        <v>3</v>
      </c>
      <c r="O226" s="4">
        <v>2</v>
      </c>
      <c r="P226" s="4"/>
      <c r="Q226" s="4"/>
      <c r="R226" s="4"/>
      <c r="S226" s="4"/>
      <c r="T226" s="4"/>
      <c r="U226" s="4"/>
      <c r="V226" s="4"/>
      <c r="W226" s="4"/>
    </row>
    <row r="228" spans="1:206" x14ac:dyDescent="0.2">
      <c r="A228" s="2">
        <v>51</v>
      </c>
      <c r="B228" s="2">
        <f>B148</f>
        <v>1</v>
      </c>
      <c r="C228" s="2">
        <f>A148</f>
        <v>4</v>
      </c>
      <c r="D228" s="2">
        <f>ROW(A148)</f>
        <v>148</v>
      </c>
      <c r="E228" s="2"/>
      <c r="F228" s="2" t="str">
        <f>IF(F148&lt;&gt;"",F148,"")</f>
        <v>Новый раздел</v>
      </c>
      <c r="G228" s="2" t="str">
        <f>IF(G148&lt;&gt;"",G148,"")</f>
        <v>Замена бортового камня</v>
      </c>
      <c r="H228" s="2">
        <v>0</v>
      </c>
      <c r="I228" s="2"/>
      <c r="J228" s="2"/>
      <c r="K228" s="2"/>
      <c r="L228" s="2"/>
      <c r="M228" s="2"/>
      <c r="N228" s="2"/>
      <c r="O228" s="2">
        <f t="shared" ref="O228:T228" si="160">ROUND(O160+O199+AB228,2)</f>
        <v>266158.81</v>
      </c>
      <c r="P228" s="2">
        <f t="shared" si="160"/>
        <v>160221.42000000001</v>
      </c>
      <c r="Q228" s="2">
        <f t="shared" si="160"/>
        <v>33059.79</v>
      </c>
      <c r="R228" s="2">
        <f t="shared" si="160"/>
        <v>21853.14</v>
      </c>
      <c r="S228" s="2">
        <f t="shared" si="160"/>
        <v>72877.600000000006</v>
      </c>
      <c r="T228" s="2">
        <f t="shared" si="160"/>
        <v>0</v>
      </c>
      <c r="U228" s="2">
        <f>U160+U199+AH228</f>
        <v>431.64000000000004</v>
      </c>
      <c r="V228" s="2">
        <f>V160+V199+AI228</f>
        <v>0</v>
      </c>
      <c r="W228" s="2">
        <f>ROUND(W160+W199+AJ228,2)</f>
        <v>0</v>
      </c>
      <c r="X228" s="2">
        <f>ROUND(X160+X199+AK228,2)</f>
        <v>51014.32</v>
      </c>
      <c r="Y228" s="2">
        <f>ROUND(Y160+Y199+AL228,2)</f>
        <v>7287.76</v>
      </c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>
        <f t="shared" ref="AO228:BC228" si="161">ROUND(AO160+AO199+BX228,2)</f>
        <v>0</v>
      </c>
      <c r="AP228" s="2">
        <f t="shared" si="161"/>
        <v>0</v>
      </c>
      <c r="AQ228" s="2">
        <f t="shared" si="161"/>
        <v>0</v>
      </c>
      <c r="AR228" s="2">
        <f t="shared" si="161"/>
        <v>331278.25</v>
      </c>
      <c r="AS228" s="2">
        <f t="shared" si="161"/>
        <v>0</v>
      </c>
      <c r="AT228" s="2">
        <f t="shared" si="161"/>
        <v>0</v>
      </c>
      <c r="AU228" s="2">
        <f t="shared" si="161"/>
        <v>331278.25</v>
      </c>
      <c r="AV228" s="2">
        <f t="shared" si="161"/>
        <v>160221.42000000001</v>
      </c>
      <c r="AW228" s="2">
        <f t="shared" si="161"/>
        <v>160221.42000000001</v>
      </c>
      <c r="AX228" s="2">
        <f t="shared" si="161"/>
        <v>0</v>
      </c>
      <c r="AY228" s="2">
        <f t="shared" si="161"/>
        <v>160221.42000000001</v>
      </c>
      <c r="AZ228" s="2">
        <f t="shared" si="161"/>
        <v>0</v>
      </c>
      <c r="BA228" s="2">
        <f t="shared" si="161"/>
        <v>0</v>
      </c>
      <c r="BB228" s="2">
        <f t="shared" si="161"/>
        <v>0</v>
      </c>
      <c r="BC228" s="2">
        <f t="shared" si="161"/>
        <v>0</v>
      </c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>
        <v>0</v>
      </c>
    </row>
    <row r="230" spans="1:206" x14ac:dyDescent="0.2">
      <c r="A230" s="4">
        <v>50</v>
      </c>
      <c r="B230" s="4">
        <v>0</v>
      </c>
      <c r="C230" s="4">
        <v>0</v>
      </c>
      <c r="D230" s="4">
        <v>1</v>
      </c>
      <c r="E230" s="4">
        <v>201</v>
      </c>
      <c r="F230" s="4">
        <f>ROUND(Source!O228,O230)</f>
        <v>266158.81</v>
      </c>
      <c r="G230" s="4" t="s">
        <v>55</v>
      </c>
      <c r="H230" s="4" t="s">
        <v>56</v>
      </c>
      <c r="I230" s="4"/>
      <c r="J230" s="4"/>
      <c r="K230" s="4">
        <v>-201</v>
      </c>
      <c r="L230" s="4">
        <v>1</v>
      </c>
      <c r="M230" s="4">
        <v>3</v>
      </c>
      <c r="N230" s="4" t="s">
        <v>3</v>
      </c>
      <c r="O230" s="4">
        <v>2</v>
      </c>
      <c r="P230" s="4"/>
      <c r="Q230" s="4"/>
      <c r="R230" s="4"/>
      <c r="S230" s="4"/>
      <c r="T230" s="4"/>
      <c r="U230" s="4"/>
      <c r="V230" s="4"/>
      <c r="W230" s="4"/>
    </row>
    <row r="231" spans="1:206" x14ac:dyDescent="0.2">
      <c r="A231" s="4">
        <v>50</v>
      </c>
      <c r="B231" s="4">
        <v>0</v>
      </c>
      <c r="C231" s="4">
        <v>0</v>
      </c>
      <c r="D231" s="4">
        <v>1</v>
      </c>
      <c r="E231" s="4">
        <v>202</v>
      </c>
      <c r="F231" s="4">
        <f>ROUND(Source!P228,O231)</f>
        <v>160221.42000000001</v>
      </c>
      <c r="G231" s="4" t="s">
        <v>57</v>
      </c>
      <c r="H231" s="4" t="s">
        <v>58</v>
      </c>
      <c r="I231" s="4"/>
      <c r="J231" s="4"/>
      <c r="K231" s="4">
        <v>-202</v>
      </c>
      <c r="L231" s="4">
        <v>2</v>
      </c>
      <c r="M231" s="4">
        <v>3</v>
      </c>
      <c r="N231" s="4" t="s">
        <v>3</v>
      </c>
      <c r="O231" s="4">
        <v>2</v>
      </c>
      <c r="P231" s="4"/>
      <c r="Q231" s="4"/>
      <c r="R231" s="4"/>
      <c r="S231" s="4"/>
      <c r="T231" s="4"/>
      <c r="U231" s="4"/>
      <c r="V231" s="4"/>
      <c r="W231" s="4"/>
    </row>
    <row r="232" spans="1:206" x14ac:dyDescent="0.2">
      <c r="A232" s="4">
        <v>50</v>
      </c>
      <c r="B232" s="4">
        <v>0</v>
      </c>
      <c r="C232" s="4">
        <v>0</v>
      </c>
      <c r="D232" s="4">
        <v>1</v>
      </c>
      <c r="E232" s="4">
        <v>222</v>
      </c>
      <c r="F232" s="4">
        <f>ROUND(Source!AO228,O232)</f>
        <v>0</v>
      </c>
      <c r="G232" s="4" t="s">
        <v>59</v>
      </c>
      <c r="H232" s="4" t="s">
        <v>60</v>
      </c>
      <c r="I232" s="4"/>
      <c r="J232" s="4"/>
      <c r="K232" s="4">
        <v>-222</v>
      </c>
      <c r="L232" s="4">
        <v>3</v>
      </c>
      <c r="M232" s="4">
        <v>3</v>
      </c>
      <c r="N232" s="4" t="s">
        <v>3</v>
      </c>
      <c r="O232" s="4">
        <v>2</v>
      </c>
      <c r="P232" s="4"/>
      <c r="Q232" s="4"/>
      <c r="R232" s="4"/>
      <c r="S232" s="4"/>
      <c r="T232" s="4"/>
      <c r="U232" s="4"/>
      <c r="V232" s="4"/>
      <c r="W232" s="4"/>
    </row>
    <row r="233" spans="1:206" x14ac:dyDescent="0.2">
      <c r="A233" s="4">
        <v>50</v>
      </c>
      <c r="B233" s="4">
        <v>0</v>
      </c>
      <c r="C233" s="4">
        <v>0</v>
      </c>
      <c r="D233" s="4">
        <v>1</v>
      </c>
      <c r="E233" s="4">
        <v>225</v>
      </c>
      <c r="F233" s="4">
        <f>ROUND(Source!AV228,O233)</f>
        <v>160221.42000000001</v>
      </c>
      <c r="G233" s="4" t="s">
        <v>61</v>
      </c>
      <c r="H233" s="4" t="s">
        <v>62</v>
      </c>
      <c r="I233" s="4"/>
      <c r="J233" s="4"/>
      <c r="K233" s="4">
        <v>-225</v>
      </c>
      <c r="L233" s="4">
        <v>4</v>
      </c>
      <c r="M233" s="4">
        <v>3</v>
      </c>
      <c r="N233" s="4" t="s">
        <v>3</v>
      </c>
      <c r="O233" s="4">
        <v>2</v>
      </c>
      <c r="P233" s="4"/>
      <c r="Q233" s="4"/>
      <c r="R233" s="4"/>
      <c r="S233" s="4"/>
      <c r="T233" s="4"/>
      <c r="U233" s="4"/>
      <c r="V233" s="4"/>
      <c r="W233" s="4"/>
    </row>
    <row r="234" spans="1:206" x14ac:dyDescent="0.2">
      <c r="A234" s="4">
        <v>50</v>
      </c>
      <c r="B234" s="4">
        <v>0</v>
      </c>
      <c r="C234" s="4">
        <v>0</v>
      </c>
      <c r="D234" s="4">
        <v>1</v>
      </c>
      <c r="E234" s="4">
        <v>226</v>
      </c>
      <c r="F234" s="4">
        <f>ROUND(Source!AW228,O234)</f>
        <v>160221.42000000001</v>
      </c>
      <c r="G234" s="4" t="s">
        <v>63</v>
      </c>
      <c r="H234" s="4" t="s">
        <v>64</v>
      </c>
      <c r="I234" s="4"/>
      <c r="J234" s="4"/>
      <c r="K234" s="4">
        <v>-226</v>
      </c>
      <c r="L234" s="4">
        <v>5</v>
      </c>
      <c r="M234" s="4">
        <v>3</v>
      </c>
      <c r="N234" s="4" t="s">
        <v>3</v>
      </c>
      <c r="O234" s="4">
        <v>2</v>
      </c>
      <c r="P234" s="4"/>
      <c r="Q234" s="4"/>
      <c r="R234" s="4"/>
      <c r="S234" s="4"/>
      <c r="T234" s="4"/>
      <c r="U234" s="4"/>
      <c r="V234" s="4"/>
      <c r="W234" s="4"/>
    </row>
    <row r="235" spans="1:206" x14ac:dyDescent="0.2">
      <c r="A235" s="4">
        <v>50</v>
      </c>
      <c r="B235" s="4">
        <v>0</v>
      </c>
      <c r="C235" s="4">
        <v>0</v>
      </c>
      <c r="D235" s="4">
        <v>1</v>
      </c>
      <c r="E235" s="4">
        <v>227</v>
      </c>
      <c r="F235" s="4">
        <f>ROUND(Source!AX228,O235)</f>
        <v>0</v>
      </c>
      <c r="G235" s="4" t="s">
        <v>65</v>
      </c>
      <c r="H235" s="4" t="s">
        <v>66</v>
      </c>
      <c r="I235" s="4"/>
      <c r="J235" s="4"/>
      <c r="K235" s="4">
        <v>-227</v>
      </c>
      <c r="L235" s="4">
        <v>6</v>
      </c>
      <c r="M235" s="4">
        <v>3</v>
      </c>
      <c r="N235" s="4" t="s">
        <v>3</v>
      </c>
      <c r="O235" s="4">
        <v>2</v>
      </c>
      <c r="P235" s="4"/>
      <c r="Q235" s="4"/>
      <c r="R235" s="4"/>
      <c r="S235" s="4"/>
      <c r="T235" s="4"/>
      <c r="U235" s="4"/>
      <c r="V235" s="4"/>
      <c r="W235" s="4"/>
    </row>
    <row r="236" spans="1:206" x14ac:dyDescent="0.2">
      <c r="A236" s="4">
        <v>50</v>
      </c>
      <c r="B236" s="4">
        <v>0</v>
      </c>
      <c r="C236" s="4">
        <v>0</v>
      </c>
      <c r="D236" s="4">
        <v>1</v>
      </c>
      <c r="E236" s="4">
        <v>228</v>
      </c>
      <c r="F236" s="4">
        <f>ROUND(Source!AY228,O236)</f>
        <v>160221.42000000001</v>
      </c>
      <c r="G236" s="4" t="s">
        <v>67</v>
      </c>
      <c r="H236" s="4" t="s">
        <v>68</v>
      </c>
      <c r="I236" s="4"/>
      <c r="J236" s="4"/>
      <c r="K236" s="4">
        <v>-228</v>
      </c>
      <c r="L236" s="4">
        <v>7</v>
      </c>
      <c r="M236" s="4">
        <v>3</v>
      </c>
      <c r="N236" s="4" t="s">
        <v>3</v>
      </c>
      <c r="O236" s="4">
        <v>2</v>
      </c>
      <c r="P236" s="4"/>
      <c r="Q236" s="4"/>
      <c r="R236" s="4"/>
      <c r="S236" s="4"/>
      <c r="T236" s="4"/>
      <c r="U236" s="4"/>
      <c r="V236" s="4"/>
      <c r="W236" s="4"/>
    </row>
    <row r="237" spans="1:206" x14ac:dyDescent="0.2">
      <c r="A237" s="4">
        <v>50</v>
      </c>
      <c r="B237" s="4">
        <v>0</v>
      </c>
      <c r="C237" s="4">
        <v>0</v>
      </c>
      <c r="D237" s="4">
        <v>1</v>
      </c>
      <c r="E237" s="4">
        <v>216</v>
      </c>
      <c r="F237" s="4">
        <f>ROUND(Source!AP228,O237)</f>
        <v>0</v>
      </c>
      <c r="G237" s="4" t="s">
        <v>69</v>
      </c>
      <c r="H237" s="4" t="s">
        <v>70</v>
      </c>
      <c r="I237" s="4"/>
      <c r="J237" s="4"/>
      <c r="K237" s="4">
        <v>-216</v>
      </c>
      <c r="L237" s="4">
        <v>8</v>
      </c>
      <c r="M237" s="4">
        <v>3</v>
      </c>
      <c r="N237" s="4" t="s">
        <v>3</v>
      </c>
      <c r="O237" s="4">
        <v>2</v>
      </c>
      <c r="P237" s="4"/>
      <c r="Q237" s="4"/>
      <c r="R237" s="4"/>
      <c r="S237" s="4"/>
      <c r="T237" s="4"/>
      <c r="U237" s="4"/>
      <c r="V237" s="4"/>
      <c r="W237" s="4"/>
    </row>
    <row r="238" spans="1:206" x14ac:dyDescent="0.2">
      <c r="A238" s="4">
        <v>50</v>
      </c>
      <c r="B238" s="4">
        <v>0</v>
      </c>
      <c r="C238" s="4">
        <v>0</v>
      </c>
      <c r="D238" s="4">
        <v>1</v>
      </c>
      <c r="E238" s="4">
        <v>223</v>
      </c>
      <c r="F238" s="4">
        <f>ROUND(Source!AQ228,O238)</f>
        <v>0</v>
      </c>
      <c r="G238" s="4" t="s">
        <v>71</v>
      </c>
      <c r="H238" s="4" t="s">
        <v>72</v>
      </c>
      <c r="I238" s="4"/>
      <c r="J238" s="4"/>
      <c r="K238" s="4">
        <v>-223</v>
      </c>
      <c r="L238" s="4">
        <v>9</v>
      </c>
      <c r="M238" s="4">
        <v>3</v>
      </c>
      <c r="N238" s="4" t="s">
        <v>3</v>
      </c>
      <c r="O238" s="4">
        <v>2</v>
      </c>
      <c r="P238" s="4"/>
      <c r="Q238" s="4"/>
      <c r="R238" s="4"/>
      <c r="S238" s="4"/>
      <c r="T238" s="4"/>
      <c r="U238" s="4"/>
      <c r="V238" s="4"/>
      <c r="W238" s="4"/>
    </row>
    <row r="239" spans="1:206" x14ac:dyDescent="0.2">
      <c r="A239" s="4">
        <v>50</v>
      </c>
      <c r="B239" s="4">
        <v>0</v>
      </c>
      <c r="C239" s="4">
        <v>0</v>
      </c>
      <c r="D239" s="4">
        <v>1</v>
      </c>
      <c r="E239" s="4">
        <v>229</v>
      </c>
      <c r="F239" s="4">
        <f>ROUND(Source!AZ228,O239)</f>
        <v>0</v>
      </c>
      <c r="G239" s="4" t="s">
        <v>73</v>
      </c>
      <c r="H239" s="4" t="s">
        <v>74</v>
      </c>
      <c r="I239" s="4"/>
      <c r="J239" s="4"/>
      <c r="K239" s="4">
        <v>-229</v>
      </c>
      <c r="L239" s="4">
        <v>10</v>
      </c>
      <c r="M239" s="4">
        <v>3</v>
      </c>
      <c r="N239" s="4" t="s">
        <v>3</v>
      </c>
      <c r="O239" s="4">
        <v>2</v>
      </c>
      <c r="P239" s="4"/>
      <c r="Q239" s="4"/>
      <c r="R239" s="4"/>
      <c r="S239" s="4"/>
      <c r="T239" s="4"/>
      <c r="U239" s="4"/>
      <c r="V239" s="4"/>
      <c r="W239" s="4"/>
    </row>
    <row r="240" spans="1:206" x14ac:dyDescent="0.2">
      <c r="A240" s="4">
        <v>50</v>
      </c>
      <c r="B240" s="4">
        <v>0</v>
      </c>
      <c r="C240" s="4">
        <v>0</v>
      </c>
      <c r="D240" s="4">
        <v>1</v>
      </c>
      <c r="E240" s="4">
        <v>203</v>
      </c>
      <c r="F240" s="4">
        <f>ROUND(Source!Q228,O240)</f>
        <v>33059.79</v>
      </c>
      <c r="G240" s="4" t="s">
        <v>75</v>
      </c>
      <c r="H240" s="4" t="s">
        <v>76</v>
      </c>
      <c r="I240" s="4"/>
      <c r="J240" s="4"/>
      <c r="K240" s="4">
        <v>-203</v>
      </c>
      <c r="L240" s="4">
        <v>11</v>
      </c>
      <c r="M240" s="4">
        <v>3</v>
      </c>
      <c r="N240" s="4" t="s">
        <v>3</v>
      </c>
      <c r="O240" s="4">
        <v>2</v>
      </c>
      <c r="P240" s="4"/>
      <c r="Q240" s="4"/>
      <c r="R240" s="4"/>
      <c r="S240" s="4"/>
      <c r="T240" s="4"/>
      <c r="U240" s="4"/>
      <c r="V240" s="4"/>
      <c r="W240" s="4"/>
    </row>
    <row r="241" spans="1:23" x14ac:dyDescent="0.2">
      <c r="A241" s="4">
        <v>50</v>
      </c>
      <c r="B241" s="4">
        <v>0</v>
      </c>
      <c r="C241" s="4">
        <v>0</v>
      </c>
      <c r="D241" s="4">
        <v>1</v>
      </c>
      <c r="E241" s="4">
        <v>231</v>
      </c>
      <c r="F241" s="4">
        <f>ROUND(Source!BB228,O241)</f>
        <v>0</v>
      </c>
      <c r="G241" s="4" t="s">
        <v>77</v>
      </c>
      <c r="H241" s="4" t="s">
        <v>78</v>
      </c>
      <c r="I241" s="4"/>
      <c r="J241" s="4"/>
      <c r="K241" s="4">
        <v>-231</v>
      </c>
      <c r="L241" s="4">
        <v>12</v>
      </c>
      <c r="M241" s="4">
        <v>3</v>
      </c>
      <c r="N241" s="4" t="s">
        <v>3</v>
      </c>
      <c r="O241" s="4">
        <v>2</v>
      </c>
      <c r="P241" s="4"/>
      <c r="Q241" s="4"/>
      <c r="R241" s="4"/>
      <c r="S241" s="4"/>
      <c r="T241" s="4"/>
      <c r="U241" s="4"/>
      <c r="V241" s="4"/>
      <c r="W241" s="4"/>
    </row>
    <row r="242" spans="1:23" x14ac:dyDescent="0.2">
      <c r="A242" s="4">
        <v>50</v>
      </c>
      <c r="B242" s="4">
        <v>0</v>
      </c>
      <c r="C242" s="4">
        <v>0</v>
      </c>
      <c r="D242" s="4">
        <v>1</v>
      </c>
      <c r="E242" s="4">
        <v>204</v>
      </c>
      <c r="F242" s="4">
        <f>ROUND(Source!R228,O242)</f>
        <v>21853.14</v>
      </c>
      <c r="G242" s="4" t="s">
        <v>79</v>
      </c>
      <c r="H242" s="4" t="s">
        <v>80</v>
      </c>
      <c r="I242" s="4"/>
      <c r="J242" s="4"/>
      <c r="K242" s="4">
        <v>-204</v>
      </c>
      <c r="L242" s="4">
        <v>13</v>
      </c>
      <c r="M242" s="4">
        <v>3</v>
      </c>
      <c r="N242" s="4" t="s">
        <v>3</v>
      </c>
      <c r="O242" s="4">
        <v>2</v>
      </c>
      <c r="P242" s="4"/>
      <c r="Q242" s="4"/>
      <c r="R242" s="4"/>
      <c r="S242" s="4"/>
      <c r="T242" s="4"/>
      <c r="U242" s="4"/>
      <c r="V242" s="4"/>
      <c r="W242" s="4"/>
    </row>
    <row r="243" spans="1:23" x14ac:dyDescent="0.2">
      <c r="A243" s="4">
        <v>50</v>
      </c>
      <c r="B243" s="4">
        <v>0</v>
      </c>
      <c r="C243" s="4">
        <v>0</v>
      </c>
      <c r="D243" s="4">
        <v>1</v>
      </c>
      <c r="E243" s="4">
        <v>205</v>
      </c>
      <c r="F243" s="4">
        <f>ROUND(Source!S228,O243)</f>
        <v>72877.600000000006</v>
      </c>
      <c r="G243" s="4" t="s">
        <v>81</v>
      </c>
      <c r="H243" s="4" t="s">
        <v>82</v>
      </c>
      <c r="I243" s="4"/>
      <c r="J243" s="4"/>
      <c r="K243" s="4">
        <v>-205</v>
      </c>
      <c r="L243" s="4">
        <v>14</v>
      </c>
      <c r="M243" s="4">
        <v>3</v>
      </c>
      <c r="N243" s="4" t="s">
        <v>3</v>
      </c>
      <c r="O243" s="4">
        <v>2</v>
      </c>
      <c r="P243" s="4"/>
      <c r="Q243" s="4"/>
      <c r="R243" s="4"/>
      <c r="S243" s="4"/>
      <c r="T243" s="4"/>
      <c r="U243" s="4"/>
      <c r="V243" s="4"/>
      <c r="W243" s="4"/>
    </row>
    <row r="244" spans="1:23" x14ac:dyDescent="0.2">
      <c r="A244" s="4">
        <v>50</v>
      </c>
      <c r="B244" s="4">
        <v>0</v>
      </c>
      <c r="C244" s="4">
        <v>0</v>
      </c>
      <c r="D244" s="4">
        <v>1</v>
      </c>
      <c r="E244" s="4">
        <v>232</v>
      </c>
      <c r="F244" s="4">
        <f>ROUND(Source!BC228,O244)</f>
        <v>0</v>
      </c>
      <c r="G244" s="4" t="s">
        <v>83</v>
      </c>
      <c r="H244" s="4" t="s">
        <v>84</v>
      </c>
      <c r="I244" s="4"/>
      <c r="J244" s="4"/>
      <c r="K244" s="4">
        <v>-232</v>
      </c>
      <c r="L244" s="4">
        <v>15</v>
      </c>
      <c r="M244" s="4">
        <v>3</v>
      </c>
      <c r="N244" s="4" t="s">
        <v>3</v>
      </c>
      <c r="O244" s="4">
        <v>2</v>
      </c>
      <c r="P244" s="4"/>
      <c r="Q244" s="4"/>
      <c r="R244" s="4"/>
      <c r="S244" s="4"/>
      <c r="T244" s="4"/>
      <c r="U244" s="4"/>
      <c r="V244" s="4"/>
      <c r="W244" s="4"/>
    </row>
    <row r="245" spans="1:23" x14ac:dyDescent="0.2">
      <c r="A245" s="4">
        <v>50</v>
      </c>
      <c r="B245" s="4">
        <v>0</v>
      </c>
      <c r="C245" s="4">
        <v>0</v>
      </c>
      <c r="D245" s="4">
        <v>1</v>
      </c>
      <c r="E245" s="4">
        <v>214</v>
      </c>
      <c r="F245" s="4">
        <f>ROUND(Source!AS228,O245)</f>
        <v>0</v>
      </c>
      <c r="G245" s="4" t="s">
        <v>85</v>
      </c>
      <c r="H245" s="4" t="s">
        <v>86</v>
      </c>
      <c r="I245" s="4"/>
      <c r="J245" s="4"/>
      <c r="K245" s="4">
        <v>-214</v>
      </c>
      <c r="L245" s="4">
        <v>16</v>
      </c>
      <c r="M245" s="4">
        <v>3</v>
      </c>
      <c r="N245" s="4" t="s">
        <v>3</v>
      </c>
      <c r="O245" s="4">
        <v>2</v>
      </c>
      <c r="P245" s="4"/>
      <c r="Q245" s="4"/>
      <c r="R245" s="4"/>
      <c r="S245" s="4"/>
      <c r="T245" s="4"/>
      <c r="U245" s="4"/>
      <c r="V245" s="4"/>
      <c r="W245" s="4"/>
    </row>
    <row r="246" spans="1:23" x14ac:dyDescent="0.2">
      <c r="A246" s="4">
        <v>50</v>
      </c>
      <c r="B246" s="4">
        <v>0</v>
      </c>
      <c r="C246" s="4">
        <v>0</v>
      </c>
      <c r="D246" s="4">
        <v>1</v>
      </c>
      <c r="E246" s="4">
        <v>215</v>
      </c>
      <c r="F246" s="4">
        <f>ROUND(Source!AT228,O246)</f>
        <v>0</v>
      </c>
      <c r="G246" s="4" t="s">
        <v>87</v>
      </c>
      <c r="H246" s="4" t="s">
        <v>88</v>
      </c>
      <c r="I246" s="4"/>
      <c r="J246" s="4"/>
      <c r="K246" s="4">
        <v>-215</v>
      </c>
      <c r="L246" s="4">
        <v>17</v>
      </c>
      <c r="M246" s="4">
        <v>3</v>
      </c>
      <c r="N246" s="4" t="s">
        <v>3</v>
      </c>
      <c r="O246" s="4">
        <v>2</v>
      </c>
      <c r="P246" s="4"/>
      <c r="Q246" s="4"/>
      <c r="R246" s="4"/>
      <c r="S246" s="4"/>
      <c r="T246" s="4"/>
      <c r="U246" s="4"/>
      <c r="V246" s="4"/>
      <c r="W246" s="4"/>
    </row>
    <row r="247" spans="1:23" x14ac:dyDescent="0.2">
      <c r="A247" s="4">
        <v>50</v>
      </c>
      <c r="B247" s="4">
        <v>0</v>
      </c>
      <c r="C247" s="4">
        <v>0</v>
      </c>
      <c r="D247" s="4">
        <v>1</v>
      </c>
      <c r="E247" s="4">
        <v>217</v>
      </c>
      <c r="F247" s="4">
        <f>ROUND(Source!AU228,O247)</f>
        <v>331278.25</v>
      </c>
      <c r="G247" s="4" t="s">
        <v>89</v>
      </c>
      <c r="H247" s="4" t="s">
        <v>90</v>
      </c>
      <c r="I247" s="4"/>
      <c r="J247" s="4"/>
      <c r="K247" s="4">
        <v>-217</v>
      </c>
      <c r="L247" s="4">
        <v>18</v>
      </c>
      <c r="M247" s="4">
        <v>3</v>
      </c>
      <c r="N247" s="4" t="s">
        <v>3</v>
      </c>
      <c r="O247" s="4">
        <v>2</v>
      </c>
      <c r="P247" s="4"/>
      <c r="Q247" s="4"/>
      <c r="R247" s="4"/>
      <c r="S247" s="4"/>
      <c r="T247" s="4"/>
      <c r="U247" s="4"/>
      <c r="V247" s="4"/>
      <c r="W247" s="4"/>
    </row>
    <row r="248" spans="1:23" x14ac:dyDescent="0.2">
      <c r="A248" s="4">
        <v>50</v>
      </c>
      <c r="B248" s="4">
        <v>0</v>
      </c>
      <c r="C248" s="4">
        <v>0</v>
      </c>
      <c r="D248" s="4">
        <v>1</v>
      </c>
      <c r="E248" s="4">
        <v>230</v>
      </c>
      <c r="F248" s="4">
        <f>ROUND(Source!BA228,O248)</f>
        <v>0</v>
      </c>
      <c r="G248" s="4" t="s">
        <v>91</v>
      </c>
      <c r="H248" s="4" t="s">
        <v>92</v>
      </c>
      <c r="I248" s="4"/>
      <c r="J248" s="4"/>
      <c r="K248" s="4">
        <v>-230</v>
      </c>
      <c r="L248" s="4">
        <v>19</v>
      </c>
      <c r="M248" s="4">
        <v>3</v>
      </c>
      <c r="N248" s="4" t="s">
        <v>3</v>
      </c>
      <c r="O248" s="4">
        <v>2</v>
      </c>
      <c r="P248" s="4"/>
      <c r="Q248" s="4"/>
      <c r="R248" s="4"/>
      <c r="S248" s="4"/>
      <c r="T248" s="4"/>
      <c r="U248" s="4"/>
      <c r="V248" s="4"/>
      <c r="W248" s="4"/>
    </row>
    <row r="249" spans="1:23" x14ac:dyDescent="0.2">
      <c r="A249" s="4">
        <v>50</v>
      </c>
      <c r="B249" s="4">
        <v>0</v>
      </c>
      <c r="C249" s="4">
        <v>0</v>
      </c>
      <c r="D249" s="4">
        <v>1</v>
      </c>
      <c r="E249" s="4">
        <v>206</v>
      </c>
      <c r="F249" s="4">
        <f>ROUND(Source!T228,O249)</f>
        <v>0</v>
      </c>
      <c r="G249" s="4" t="s">
        <v>93</v>
      </c>
      <c r="H249" s="4" t="s">
        <v>94</v>
      </c>
      <c r="I249" s="4"/>
      <c r="J249" s="4"/>
      <c r="K249" s="4">
        <v>-206</v>
      </c>
      <c r="L249" s="4">
        <v>20</v>
      </c>
      <c r="M249" s="4">
        <v>3</v>
      </c>
      <c r="N249" s="4" t="s">
        <v>3</v>
      </c>
      <c r="O249" s="4">
        <v>2</v>
      </c>
      <c r="P249" s="4"/>
      <c r="Q249" s="4"/>
      <c r="R249" s="4"/>
      <c r="S249" s="4"/>
      <c r="T249" s="4"/>
      <c r="U249" s="4"/>
      <c r="V249" s="4"/>
      <c r="W249" s="4"/>
    </row>
    <row r="250" spans="1:23" x14ac:dyDescent="0.2">
      <c r="A250" s="4">
        <v>50</v>
      </c>
      <c r="B250" s="4">
        <v>0</v>
      </c>
      <c r="C250" s="4">
        <v>0</v>
      </c>
      <c r="D250" s="4">
        <v>1</v>
      </c>
      <c r="E250" s="4">
        <v>207</v>
      </c>
      <c r="F250" s="4">
        <f>Source!U228</f>
        <v>431.64000000000004</v>
      </c>
      <c r="G250" s="4" t="s">
        <v>95</v>
      </c>
      <c r="H250" s="4" t="s">
        <v>96</v>
      </c>
      <c r="I250" s="4"/>
      <c r="J250" s="4"/>
      <c r="K250" s="4">
        <v>-207</v>
      </c>
      <c r="L250" s="4">
        <v>21</v>
      </c>
      <c r="M250" s="4">
        <v>3</v>
      </c>
      <c r="N250" s="4" t="s">
        <v>3</v>
      </c>
      <c r="O250" s="4">
        <v>-1</v>
      </c>
      <c r="P250" s="4"/>
      <c r="Q250" s="4"/>
      <c r="R250" s="4"/>
      <c r="S250" s="4"/>
      <c r="T250" s="4"/>
      <c r="U250" s="4"/>
      <c r="V250" s="4"/>
      <c r="W250" s="4"/>
    </row>
    <row r="251" spans="1:23" x14ac:dyDescent="0.2">
      <c r="A251" s="4">
        <v>50</v>
      </c>
      <c r="B251" s="4">
        <v>0</v>
      </c>
      <c r="C251" s="4">
        <v>0</v>
      </c>
      <c r="D251" s="4">
        <v>1</v>
      </c>
      <c r="E251" s="4">
        <v>208</v>
      </c>
      <c r="F251" s="4">
        <f>Source!V228</f>
        <v>0</v>
      </c>
      <c r="G251" s="4" t="s">
        <v>97</v>
      </c>
      <c r="H251" s="4" t="s">
        <v>98</v>
      </c>
      <c r="I251" s="4"/>
      <c r="J251" s="4"/>
      <c r="K251" s="4">
        <v>-208</v>
      </c>
      <c r="L251" s="4">
        <v>22</v>
      </c>
      <c r="M251" s="4">
        <v>3</v>
      </c>
      <c r="N251" s="4" t="s">
        <v>3</v>
      </c>
      <c r="O251" s="4">
        <v>-1</v>
      </c>
      <c r="P251" s="4"/>
      <c r="Q251" s="4"/>
      <c r="R251" s="4"/>
      <c r="S251" s="4"/>
      <c r="T251" s="4"/>
      <c r="U251" s="4"/>
      <c r="V251" s="4"/>
      <c r="W251" s="4"/>
    </row>
    <row r="252" spans="1:23" x14ac:dyDescent="0.2">
      <c r="A252" s="4">
        <v>50</v>
      </c>
      <c r="B252" s="4">
        <v>0</v>
      </c>
      <c r="C252" s="4">
        <v>0</v>
      </c>
      <c r="D252" s="4">
        <v>1</v>
      </c>
      <c r="E252" s="4">
        <v>209</v>
      </c>
      <c r="F252" s="4">
        <f>ROUND(Source!W228,O252)</f>
        <v>0</v>
      </c>
      <c r="G252" s="4" t="s">
        <v>99</v>
      </c>
      <c r="H252" s="4" t="s">
        <v>100</v>
      </c>
      <c r="I252" s="4"/>
      <c r="J252" s="4"/>
      <c r="K252" s="4">
        <v>-209</v>
      </c>
      <c r="L252" s="4">
        <v>23</v>
      </c>
      <c r="M252" s="4">
        <v>3</v>
      </c>
      <c r="N252" s="4" t="s">
        <v>3</v>
      </c>
      <c r="O252" s="4">
        <v>2</v>
      </c>
      <c r="P252" s="4"/>
      <c r="Q252" s="4"/>
      <c r="R252" s="4"/>
      <c r="S252" s="4"/>
      <c r="T252" s="4"/>
      <c r="U252" s="4"/>
      <c r="V252" s="4"/>
      <c r="W252" s="4"/>
    </row>
    <row r="253" spans="1:23" x14ac:dyDescent="0.2">
      <c r="A253" s="4">
        <v>50</v>
      </c>
      <c r="B253" s="4">
        <v>0</v>
      </c>
      <c r="C253" s="4">
        <v>0</v>
      </c>
      <c r="D253" s="4">
        <v>1</v>
      </c>
      <c r="E253" s="4">
        <v>210</v>
      </c>
      <c r="F253" s="4">
        <f>ROUND(Source!X228,O253)</f>
        <v>51014.32</v>
      </c>
      <c r="G253" s="4" t="s">
        <v>101</v>
      </c>
      <c r="H253" s="4" t="s">
        <v>102</v>
      </c>
      <c r="I253" s="4"/>
      <c r="J253" s="4"/>
      <c r="K253" s="4">
        <v>-210</v>
      </c>
      <c r="L253" s="4">
        <v>24</v>
      </c>
      <c r="M253" s="4">
        <v>3</v>
      </c>
      <c r="N253" s="4" t="s">
        <v>3</v>
      </c>
      <c r="O253" s="4">
        <v>2</v>
      </c>
      <c r="P253" s="4"/>
      <c r="Q253" s="4"/>
      <c r="R253" s="4"/>
      <c r="S253" s="4"/>
      <c r="T253" s="4"/>
      <c r="U253" s="4"/>
      <c r="V253" s="4"/>
      <c r="W253" s="4"/>
    </row>
    <row r="254" spans="1:23" x14ac:dyDescent="0.2">
      <c r="A254" s="4">
        <v>50</v>
      </c>
      <c r="B254" s="4">
        <v>0</v>
      </c>
      <c r="C254" s="4">
        <v>0</v>
      </c>
      <c r="D254" s="4">
        <v>1</v>
      </c>
      <c r="E254" s="4">
        <v>211</v>
      </c>
      <c r="F254" s="4">
        <f>ROUND(Source!Y228,O254)</f>
        <v>7287.76</v>
      </c>
      <c r="G254" s="4" t="s">
        <v>103</v>
      </c>
      <c r="H254" s="4" t="s">
        <v>104</v>
      </c>
      <c r="I254" s="4"/>
      <c r="J254" s="4"/>
      <c r="K254" s="4">
        <v>-211</v>
      </c>
      <c r="L254" s="4">
        <v>25</v>
      </c>
      <c r="M254" s="4">
        <v>3</v>
      </c>
      <c r="N254" s="4" t="s">
        <v>3</v>
      </c>
      <c r="O254" s="4">
        <v>2</v>
      </c>
      <c r="P254" s="4"/>
      <c r="Q254" s="4"/>
      <c r="R254" s="4"/>
      <c r="S254" s="4"/>
      <c r="T254" s="4"/>
      <c r="U254" s="4"/>
      <c r="V254" s="4"/>
      <c r="W254" s="4"/>
    </row>
    <row r="255" spans="1:23" x14ac:dyDescent="0.2">
      <c r="A255" s="4">
        <v>50</v>
      </c>
      <c r="B255" s="4">
        <v>0</v>
      </c>
      <c r="C255" s="4">
        <v>0</v>
      </c>
      <c r="D255" s="4">
        <v>1</v>
      </c>
      <c r="E255" s="4">
        <v>224</v>
      </c>
      <c r="F255" s="4">
        <f>ROUND(Source!AR228,O255)</f>
        <v>331278.25</v>
      </c>
      <c r="G255" s="4" t="s">
        <v>105</v>
      </c>
      <c r="H255" s="4" t="s">
        <v>106</v>
      </c>
      <c r="I255" s="4"/>
      <c r="J255" s="4"/>
      <c r="K255" s="4">
        <v>-224</v>
      </c>
      <c r="L255" s="4">
        <v>26</v>
      </c>
      <c r="M255" s="4">
        <v>3</v>
      </c>
      <c r="N255" s="4" t="s">
        <v>3</v>
      </c>
      <c r="O255" s="4">
        <v>2</v>
      </c>
      <c r="P255" s="4"/>
      <c r="Q255" s="4"/>
      <c r="R255" s="4"/>
      <c r="S255" s="4"/>
      <c r="T255" s="4"/>
      <c r="U255" s="4"/>
      <c r="V255" s="4"/>
      <c r="W255" s="4"/>
    </row>
    <row r="257" spans="1:245" x14ac:dyDescent="0.2">
      <c r="A257" s="1">
        <v>4</v>
      </c>
      <c r="B257" s="1">
        <v>1</v>
      </c>
      <c r="C257" s="1"/>
      <c r="D257" s="1">
        <f>ROW(A271)</f>
        <v>271</v>
      </c>
      <c r="E257" s="1"/>
      <c r="F257" s="1" t="s">
        <v>12</v>
      </c>
      <c r="G257" s="1" t="s">
        <v>158</v>
      </c>
      <c r="H257" s="1" t="s">
        <v>3</v>
      </c>
      <c r="I257" s="1">
        <v>0</v>
      </c>
      <c r="J257" s="1"/>
      <c r="K257" s="1">
        <v>-1</v>
      </c>
      <c r="L257" s="1"/>
      <c r="M257" s="1"/>
      <c r="N257" s="1"/>
      <c r="O257" s="1"/>
      <c r="P257" s="1"/>
      <c r="Q257" s="1"/>
      <c r="R257" s="1"/>
      <c r="S257" s="1"/>
      <c r="T257" s="1"/>
      <c r="U257" s="1" t="s">
        <v>3</v>
      </c>
      <c r="V257" s="1">
        <v>0</v>
      </c>
      <c r="W257" s="1"/>
      <c r="X257" s="1"/>
      <c r="Y257" s="1"/>
      <c r="Z257" s="1"/>
      <c r="AA257" s="1"/>
      <c r="AB257" s="1" t="s">
        <v>3</v>
      </c>
      <c r="AC257" s="1" t="s">
        <v>3</v>
      </c>
      <c r="AD257" s="1" t="s">
        <v>3</v>
      </c>
      <c r="AE257" s="1" t="s">
        <v>3</v>
      </c>
      <c r="AF257" s="1" t="s">
        <v>3</v>
      </c>
      <c r="AG257" s="1" t="s">
        <v>3</v>
      </c>
      <c r="AH257" s="1"/>
      <c r="AI257" s="1"/>
      <c r="AJ257" s="1"/>
      <c r="AK257" s="1"/>
      <c r="AL257" s="1"/>
      <c r="AM257" s="1"/>
      <c r="AN257" s="1"/>
      <c r="AO257" s="1"/>
      <c r="AP257" s="1" t="s">
        <v>3</v>
      </c>
      <c r="AQ257" s="1" t="s">
        <v>3</v>
      </c>
      <c r="AR257" s="1" t="s">
        <v>3</v>
      </c>
      <c r="AS257" s="1"/>
      <c r="AT257" s="1"/>
      <c r="AU257" s="1"/>
      <c r="AV257" s="1"/>
      <c r="AW257" s="1"/>
      <c r="AX257" s="1"/>
      <c r="AY257" s="1"/>
      <c r="AZ257" s="1" t="s">
        <v>3</v>
      </c>
      <c r="BA257" s="1"/>
      <c r="BB257" s="1" t="s">
        <v>3</v>
      </c>
      <c r="BC257" s="1" t="s">
        <v>3</v>
      </c>
      <c r="BD257" s="1" t="s">
        <v>3</v>
      </c>
      <c r="BE257" s="1" t="s">
        <v>3</v>
      </c>
      <c r="BF257" s="1" t="s">
        <v>3</v>
      </c>
      <c r="BG257" s="1" t="s">
        <v>3</v>
      </c>
      <c r="BH257" s="1" t="s">
        <v>3</v>
      </c>
      <c r="BI257" s="1" t="s">
        <v>3</v>
      </c>
      <c r="BJ257" s="1" t="s">
        <v>3</v>
      </c>
      <c r="BK257" s="1" t="s">
        <v>3</v>
      </c>
      <c r="BL257" s="1" t="s">
        <v>3</v>
      </c>
      <c r="BM257" s="1" t="s">
        <v>3</v>
      </c>
      <c r="BN257" s="1" t="s">
        <v>3</v>
      </c>
      <c r="BO257" s="1" t="s">
        <v>3</v>
      </c>
      <c r="BP257" s="1" t="s">
        <v>3</v>
      </c>
      <c r="BQ257" s="1"/>
      <c r="BR257" s="1"/>
      <c r="BS257" s="1"/>
      <c r="BT257" s="1"/>
      <c r="BU257" s="1"/>
      <c r="BV257" s="1"/>
      <c r="BW257" s="1"/>
      <c r="BX257" s="1">
        <v>0</v>
      </c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>
        <v>0</v>
      </c>
    </row>
    <row r="259" spans="1:245" x14ac:dyDescent="0.2">
      <c r="A259" s="2">
        <v>52</v>
      </c>
      <c r="B259" s="2">
        <f t="shared" ref="B259:G259" si="162">B271</f>
        <v>1</v>
      </c>
      <c r="C259" s="2">
        <f t="shared" si="162"/>
        <v>4</v>
      </c>
      <c r="D259" s="2">
        <f t="shared" si="162"/>
        <v>257</v>
      </c>
      <c r="E259" s="2">
        <f t="shared" si="162"/>
        <v>0</v>
      </c>
      <c r="F259" s="2" t="str">
        <f t="shared" si="162"/>
        <v>Новый раздел</v>
      </c>
      <c r="G259" s="2" t="str">
        <f t="shared" si="162"/>
        <v>Устройство площадки ПДД - 85,7м2</v>
      </c>
      <c r="H259" s="2"/>
      <c r="I259" s="2"/>
      <c r="J259" s="2"/>
      <c r="K259" s="2"/>
      <c r="L259" s="2"/>
      <c r="M259" s="2"/>
      <c r="N259" s="2"/>
      <c r="O259" s="2">
        <f t="shared" ref="O259:AT259" si="163">O271</f>
        <v>159990.66</v>
      </c>
      <c r="P259" s="2">
        <f t="shared" si="163"/>
        <v>128066.33</v>
      </c>
      <c r="Q259" s="2">
        <f t="shared" si="163"/>
        <v>25576.06</v>
      </c>
      <c r="R259" s="2">
        <f t="shared" si="163"/>
        <v>16534.310000000001</v>
      </c>
      <c r="S259" s="2">
        <f t="shared" si="163"/>
        <v>6348.27</v>
      </c>
      <c r="T259" s="2">
        <f t="shared" si="163"/>
        <v>0</v>
      </c>
      <c r="U259" s="2">
        <f t="shared" si="163"/>
        <v>34.775546000000006</v>
      </c>
      <c r="V259" s="2">
        <f t="shared" si="163"/>
        <v>0</v>
      </c>
      <c r="W259" s="2">
        <f t="shared" si="163"/>
        <v>0</v>
      </c>
      <c r="X259" s="2">
        <f t="shared" si="163"/>
        <v>4464.59</v>
      </c>
      <c r="Y259" s="2">
        <f t="shared" si="163"/>
        <v>634.83000000000004</v>
      </c>
      <c r="Z259" s="2">
        <f t="shared" si="163"/>
        <v>0</v>
      </c>
      <c r="AA259" s="2">
        <f t="shared" si="163"/>
        <v>0</v>
      </c>
      <c r="AB259" s="2">
        <f t="shared" si="163"/>
        <v>159990.66</v>
      </c>
      <c r="AC259" s="2">
        <f t="shared" si="163"/>
        <v>128066.33</v>
      </c>
      <c r="AD259" s="2">
        <f t="shared" si="163"/>
        <v>25576.06</v>
      </c>
      <c r="AE259" s="2">
        <f t="shared" si="163"/>
        <v>16534.310000000001</v>
      </c>
      <c r="AF259" s="2">
        <f t="shared" si="163"/>
        <v>6348.27</v>
      </c>
      <c r="AG259" s="2">
        <f t="shared" si="163"/>
        <v>0</v>
      </c>
      <c r="AH259" s="2">
        <f t="shared" si="163"/>
        <v>34.775546000000006</v>
      </c>
      <c r="AI259" s="2">
        <f t="shared" si="163"/>
        <v>0</v>
      </c>
      <c r="AJ259" s="2">
        <f t="shared" si="163"/>
        <v>0</v>
      </c>
      <c r="AK259" s="2">
        <f t="shared" si="163"/>
        <v>4464.59</v>
      </c>
      <c r="AL259" s="2">
        <f t="shared" si="163"/>
        <v>634.83000000000004</v>
      </c>
      <c r="AM259" s="2">
        <f t="shared" si="163"/>
        <v>0</v>
      </c>
      <c r="AN259" s="2">
        <f t="shared" si="163"/>
        <v>0</v>
      </c>
      <c r="AO259" s="2">
        <f t="shared" si="163"/>
        <v>0</v>
      </c>
      <c r="AP259" s="2">
        <f t="shared" si="163"/>
        <v>0</v>
      </c>
      <c r="AQ259" s="2">
        <f t="shared" si="163"/>
        <v>0</v>
      </c>
      <c r="AR259" s="2">
        <f t="shared" si="163"/>
        <v>169866.97</v>
      </c>
      <c r="AS259" s="2">
        <f t="shared" si="163"/>
        <v>0</v>
      </c>
      <c r="AT259" s="2">
        <f t="shared" si="163"/>
        <v>0</v>
      </c>
      <c r="AU259" s="2">
        <f t="shared" ref="AU259:BZ259" si="164">AU271</f>
        <v>169866.97</v>
      </c>
      <c r="AV259" s="2">
        <f t="shared" si="164"/>
        <v>128066.33</v>
      </c>
      <c r="AW259" s="2">
        <f t="shared" si="164"/>
        <v>128066.33</v>
      </c>
      <c r="AX259" s="2">
        <f t="shared" si="164"/>
        <v>0</v>
      </c>
      <c r="AY259" s="2">
        <f t="shared" si="164"/>
        <v>128066.33</v>
      </c>
      <c r="AZ259" s="2">
        <f t="shared" si="164"/>
        <v>0</v>
      </c>
      <c r="BA259" s="2">
        <f t="shared" si="164"/>
        <v>0</v>
      </c>
      <c r="BB259" s="2">
        <f t="shared" si="164"/>
        <v>0</v>
      </c>
      <c r="BC259" s="2">
        <f t="shared" si="164"/>
        <v>0</v>
      </c>
      <c r="BD259" s="2">
        <f t="shared" si="164"/>
        <v>0</v>
      </c>
      <c r="BE259" s="2">
        <f t="shared" si="164"/>
        <v>0</v>
      </c>
      <c r="BF259" s="2">
        <f t="shared" si="164"/>
        <v>0</v>
      </c>
      <c r="BG259" s="2">
        <f t="shared" si="164"/>
        <v>0</v>
      </c>
      <c r="BH259" s="2">
        <f t="shared" si="164"/>
        <v>0</v>
      </c>
      <c r="BI259" s="2">
        <f t="shared" si="164"/>
        <v>0</v>
      </c>
      <c r="BJ259" s="2">
        <f t="shared" si="164"/>
        <v>0</v>
      </c>
      <c r="BK259" s="2">
        <f t="shared" si="164"/>
        <v>0</v>
      </c>
      <c r="BL259" s="2">
        <f t="shared" si="164"/>
        <v>0</v>
      </c>
      <c r="BM259" s="2">
        <f t="shared" si="164"/>
        <v>0</v>
      </c>
      <c r="BN259" s="2">
        <f t="shared" si="164"/>
        <v>0</v>
      </c>
      <c r="BO259" s="2">
        <f t="shared" si="164"/>
        <v>0</v>
      </c>
      <c r="BP259" s="2">
        <f t="shared" si="164"/>
        <v>0</v>
      </c>
      <c r="BQ259" s="2">
        <f t="shared" si="164"/>
        <v>0</v>
      </c>
      <c r="BR259" s="2">
        <f t="shared" si="164"/>
        <v>0</v>
      </c>
      <c r="BS259" s="2">
        <f t="shared" si="164"/>
        <v>0</v>
      </c>
      <c r="BT259" s="2">
        <f t="shared" si="164"/>
        <v>0</v>
      </c>
      <c r="BU259" s="2">
        <f t="shared" si="164"/>
        <v>0</v>
      </c>
      <c r="BV259" s="2">
        <f t="shared" si="164"/>
        <v>0</v>
      </c>
      <c r="BW259" s="2">
        <f t="shared" si="164"/>
        <v>0</v>
      </c>
      <c r="BX259" s="2">
        <f t="shared" si="164"/>
        <v>0</v>
      </c>
      <c r="BY259" s="2">
        <f t="shared" si="164"/>
        <v>0</v>
      </c>
      <c r="BZ259" s="2">
        <f t="shared" si="164"/>
        <v>0</v>
      </c>
      <c r="CA259" s="2">
        <f t="shared" ref="CA259:DF259" si="165">CA271</f>
        <v>169866.97</v>
      </c>
      <c r="CB259" s="2">
        <f t="shared" si="165"/>
        <v>0</v>
      </c>
      <c r="CC259" s="2">
        <f t="shared" si="165"/>
        <v>0</v>
      </c>
      <c r="CD259" s="2">
        <f t="shared" si="165"/>
        <v>169866.97</v>
      </c>
      <c r="CE259" s="2">
        <f t="shared" si="165"/>
        <v>128066.33</v>
      </c>
      <c r="CF259" s="2">
        <f t="shared" si="165"/>
        <v>128066.33</v>
      </c>
      <c r="CG259" s="2">
        <f t="shared" si="165"/>
        <v>0</v>
      </c>
      <c r="CH259" s="2">
        <f t="shared" si="165"/>
        <v>128066.33</v>
      </c>
      <c r="CI259" s="2">
        <f t="shared" si="165"/>
        <v>0</v>
      </c>
      <c r="CJ259" s="2">
        <f t="shared" si="165"/>
        <v>0</v>
      </c>
      <c r="CK259" s="2">
        <f t="shared" si="165"/>
        <v>0</v>
      </c>
      <c r="CL259" s="2">
        <f t="shared" si="165"/>
        <v>0</v>
      </c>
      <c r="CM259" s="2">
        <f t="shared" si="165"/>
        <v>0</v>
      </c>
      <c r="CN259" s="2">
        <f t="shared" si="165"/>
        <v>0</v>
      </c>
      <c r="CO259" s="2">
        <f t="shared" si="165"/>
        <v>0</v>
      </c>
      <c r="CP259" s="2">
        <f t="shared" si="165"/>
        <v>0</v>
      </c>
      <c r="CQ259" s="2">
        <f t="shared" si="165"/>
        <v>0</v>
      </c>
      <c r="CR259" s="2">
        <f t="shared" si="165"/>
        <v>0</v>
      </c>
      <c r="CS259" s="2">
        <f t="shared" si="165"/>
        <v>0</v>
      </c>
      <c r="CT259" s="2">
        <f t="shared" si="165"/>
        <v>0</v>
      </c>
      <c r="CU259" s="2">
        <f t="shared" si="165"/>
        <v>0</v>
      </c>
      <c r="CV259" s="2">
        <f t="shared" si="165"/>
        <v>0</v>
      </c>
      <c r="CW259" s="2">
        <f t="shared" si="165"/>
        <v>0</v>
      </c>
      <c r="CX259" s="2">
        <f t="shared" si="165"/>
        <v>0</v>
      </c>
      <c r="CY259" s="2">
        <f t="shared" si="165"/>
        <v>0</v>
      </c>
      <c r="CZ259" s="2">
        <f t="shared" si="165"/>
        <v>0</v>
      </c>
      <c r="DA259" s="2">
        <f t="shared" si="165"/>
        <v>0</v>
      </c>
      <c r="DB259" s="2">
        <f t="shared" si="165"/>
        <v>0</v>
      </c>
      <c r="DC259" s="2">
        <f t="shared" si="165"/>
        <v>0</v>
      </c>
      <c r="DD259" s="2">
        <f t="shared" si="165"/>
        <v>0</v>
      </c>
      <c r="DE259" s="2">
        <f t="shared" si="165"/>
        <v>0</v>
      </c>
      <c r="DF259" s="2">
        <f t="shared" si="165"/>
        <v>0</v>
      </c>
      <c r="DG259" s="3">
        <f t="shared" ref="DG259:EL259" si="166">DG271</f>
        <v>0</v>
      </c>
      <c r="DH259" s="3">
        <f t="shared" si="166"/>
        <v>0</v>
      </c>
      <c r="DI259" s="3">
        <f t="shared" si="166"/>
        <v>0</v>
      </c>
      <c r="DJ259" s="3">
        <f t="shared" si="166"/>
        <v>0</v>
      </c>
      <c r="DK259" s="3">
        <f t="shared" si="166"/>
        <v>0</v>
      </c>
      <c r="DL259" s="3">
        <f t="shared" si="166"/>
        <v>0</v>
      </c>
      <c r="DM259" s="3">
        <f t="shared" si="166"/>
        <v>0</v>
      </c>
      <c r="DN259" s="3">
        <f t="shared" si="166"/>
        <v>0</v>
      </c>
      <c r="DO259" s="3">
        <f t="shared" si="166"/>
        <v>0</v>
      </c>
      <c r="DP259" s="3">
        <f t="shared" si="166"/>
        <v>0</v>
      </c>
      <c r="DQ259" s="3">
        <f t="shared" si="166"/>
        <v>0</v>
      </c>
      <c r="DR259" s="3">
        <f t="shared" si="166"/>
        <v>0</v>
      </c>
      <c r="DS259" s="3">
        <f t="shared" si="166"/>
        <v>0</v>
      </c>
      <c r="DT259" s="3">
        <f t="shared" si="166"/>
        <v>0</v>
      </c>
      <c r="DU259" s="3">
        <f t="shared" si="166"/>
        <v>0</v>
      </c>
      <c r="DV259" s="3">
        <f t="shared" si="166"/>
        <v>0</v>
      </c>
      <c r="DW259" s="3">
        <f t="shared" si="166"/>
        <v>0</v>
      </c>
      <c r="DX259" s="3">
        <f t="shared" si="166"/>
        <v>0</v>
      </c>
      <c r="DY259" s="3">
        <f t="shared" si="166"/>
        <v>0</v>
      </c>
      <c r="DZ259" s="3">
        <f t="shared" si="166"/>
        <v>0</v>
      </c>
      <c r="EA259" s="3">
        <f t="shared" si="166"/>
        <v>0</v>
      </c>
      <c r="EB259" s="3">
        <f t="shared" si="166"/>
        <v>0</v>
      </c>
      <c r="EC259" s="3">
        <f t="shared" si="166"/>
        <v>0</v>
      </c>
      <c r="ED259" s="3">
        <f t="shared" si="166"/>
        <v>0</v>
      </c>
      <c r="EE259" s="3">
        <f t="shared" si="166"/>
        <v>0</v>
      </c>
      <c r="EF259" s="3">
        <f t="shared" si="166"/>
        <v>0</v>
      </c>
      <c r="EG259" s="3">
        <f t="shared" si="166"/>
        <v>0</v>
      </c>
      <c r="EH259" s="3">
        <f t="shared" si="166"/>
        <v>0</v>
      </c>
      <c r="EI259" s="3">
        <f t="shared" si="166"/>
        <v>0</v>
      </c>
      <c r="EJ259" s="3">
        <f t="shared" si="166"/>
        <v>0</v>
      </c>
      <c r="EK259" s="3">
        <f t="shared" si="166"/>
        <v>0</v>
      </c>
      <c r="EL259" s="3">
        <f t="shared" si="166"/>
        <v>0</v>
      </c>
      <c r="EM259" s="3">
        <f t="shared" ref="EM259:FR259" si="167">EM271</f>
        <v>0</v>
      </c>
      <c r="EN259" s="3">
        <f t="shared" si="167"/>
        <v>0</v>
      </c>
      <c r="EO259" s="3">
        <f t="shared" si="167"/>
        <v>0</v>
      </c>
      <c r="EP259" s="3">
        <f t="shared" si="167"/>
        <v>0</v>
      </c>
      <c r="EQ259" s="3">
        <f t="shared" si="167"/>
        <v>0</v>
      </c>
      <c r="ER259" s="3">
        <f t="shared" si="167"/>
        <v>0</v>
      </c>
      <c r="ES259" s="3">
        <f t="shared" si="167"/>
        <v>0</v>
      </c>
      <c r="ET259" s="3">
        <f t="shared" si="167"/>
        <v>0</v>
      </c>
      <c r="EU259" s="3">
        <f t="shared" si="167"/>
        <v>0</v>
      </c>
      <c r="EV259" s="3">
        <f t="shared" si="167"/>
        <v>0</v>
      </c>
      <c r="EW259" s="3">
        <f t="shared" si="167"/>
        <v>0</v>
      </c>
      <c r="EX259" s="3">
        <f t="shared" si="167"/>
        <v>0</v>
      </c>
      <c r="EY259" s="3">
        <f t="shared" si="167"/>
        <v>0</v>
      </c>
      <c r="EZ259" s="3">
        <f t="shared" si="167"/>
        <v>0</v>
      </c>
      <c r="FA259" s="3">
        <f t="shared" si="167"/>
        <v>0</v>
      </c>
      <c r="FB259" s="3">
        <f t="shared" si="167"/>
        <v>0</v>
      </c>
      <c r="FC259" s="3">
        <f t="shared" si="167"/>
        <v>0</v>
      </c>
      <c r="FD259" s="3">
        <f t="shared" si="167"/>
        <v>0</v>
      </c>
      <c r="FE259" s="3">
        <f t="shared" si="167"/>
        <v>0</v>
      </c>
      <c r="FF259" s="3">
        <f t="shared" si="167"/>
        <v>0</v>
      </c>
      <c r="FG259" s="3">
        <f t="shared" si="167"/>
        <v>0</v>
      </c>
      <c r="FH259" s="3">
        <f t="shared" si="167"/>
        <v>0</v>
      </c>
      <c r="FI259" s="3">
        <f t="shared" si="167"/>
        <v>0</v>
      </c>
      <c r="FJ259" s="3">
        <f t="shared" si="167"/>
        <v>0</v>
      </c>
      <c r="FK259" s="3">
        <f t="shared" si="167"/>
        <v>0</v>
      </c>
      <c r="FL259" s="3">
        <f t="shared" si="167"/>
        <v>0</v>
      </c>
      <c r="FM259" s="3">
        <f t="shared" si="167"/>
        <v>0</v>
      </c>
      <c r="FN259" s="3">
        <f t="shared" si="167"/>
        <v>0</v>
      </c>
      <c r="FO259" s="3">
        <f t="shared" si="167"/>
        <v>0</v>
      </c>
      <c r="FP259" s="3">
        <f t="shared" si="167"/>
        <v>0</v>
      </c>
      <c r="FQ259" s="3">
        <f t="shared" si="167"/>
        <v>0</v>
      </c>
      <c r="FR259" s="3">
        <f t="shared" si="167"/>
        <v>0</v>
      </c>
      <c r="FS259" s="3">
        <f t="shared" ref="FS259:GX259" si="168">FS271</f>
        <v>0</v>
      </c>
      <c r="FT259" s="3">
        <f t="shared" si="168"/>
        <v>0</v>
      </c>
      <c r="FU259" s="3">
        <f t="shared" si="168"/>
        <v>0</v>
      </c>
      <c r="FV259" s="3">
        <f t="shared" si="168"/>
        <v>0</v>
      </c>
      <c r="FW259" s="3">
        <f t="shared" si="168"/>
        <v>0</v>
      </c>
      <c r="FX259" s="3">
        <f t="shared" si="168"/>
        <v>0</v>
      </c>
      <c r="FY259" s="3">
        <f t="shared" si="168"/>
        <v>0</v>
      </c>
      <c r="FZ259" s="3">
        <f t="shared" si="168"/>
        <v>0</v>
      </c>
      <c r="GA259" s="3">
        <f t="shared" si="168"/>
        <v>0</v>
      </c>
      <c r="GB259" s="3">
        <f t="shared" si="168"/>
        <v>0</v>
      </c>
      <c r="GC259" s="3">
        <f t="shared" si="168"/>
        <v>0</v>
      </c>
      <c r="GD259" s="3">
        <f t="shared" si="168"/>
        <v>0</v>
      </c>
      <c r="GE259" s="3">
        <f t="shared" si="168"/>
        <v>0</v>
      </c>
      <c r="GF259" s="3">
        <f t="shared" si="168"/>
        <v>0</v>
      </c>
      <c r="GG259" s="3">
        <f t="shared" si="168"/>
        <v>0</v>
      </c>
      <c r="GH259" s="3">
        <f t="shared" si="168"/>
        <v>0</v>
      </c>
      <c r="GI259" s="3">
        <f t="shared" si="168"/>
        <v>0</v>
      </c>
      <c r="GJ259" s="3">
        <f t="shared" si="168"/>
        <v>0</v>
      </c>
      <c r="GK259" s="3">
        <f t="shared" si="168"/>
        <v>0</v>
      </c>
      <c r="GL259" s="3">
        <f t="shared" si="168"/>
        <v>0</v>
      </c>
      <c r="GM259" s="3">
        <f t="shared" si="168"/>
        <v>0</v>
      </c>
      <c r="GN259" s="3">
        <f t="shared" si="168"/>
        <v>0</v>
      </c>
      <c r="GO259" s="3">
        <f t="shared" si="168"/>
        <v>0</v>
      </c>
      <c r="GP259" s="3">
        <f t="shared" si="168"/>
        <v>0</v>
      </c>
      <c r="GQ259" s="3">
        <f t="shared" si="168"/>
        <v>0</v>
      </c>
      <c r="GR259" s="3">
        <f t="shared" si="168"/>
        <v>0</v>
      </c>
      <c r="GS259" s="3">
        <f t="shared" si="168"/>
        <v>0</v>
      </c>
      <c r="GT259" s="3">
        <f t="shared" si="168"/>
        <v>0</v>
      </c>
      <c r="GU259" s="3">
        <f t="shared" si="168"/>
        <v>0</v>
      </c>
      <c r="GV259" s="3">
        <f t="shared" si="168"/>
        <v>0</v>
      </c>
      <c r="GW259" s="3">
        <f t="shared" si="168"/>
        <v>0</v>
      </c>
      <c r="GX259" s="3">
        <f t="shared" si="168"/>
        <v>0</v>
      </c>
    </row>
    <row r="261" spans="1:245" x14ac:dyDescent="0.2">
      <c r="A261">
        <v>17</v>
      </c>
      <c r="B261">
        <v>1</v>
      </c>
      <c r="C261">
        <f>ROW(SmtRes!A123)</f>
        <v>123</v>
      </c>
      <c r="D261">
        <f>ROW(EtalonRes!A123)</f>
        <v>123</v>
      </c>
      <c r="E261" t="s">
        <v>159</v>
      </c>
      <c r="F261" t="s">
        <v>109</v>
      </c>
      <c r="G261" t="s">
        <v>110</v>
      </c>
      <c r="H261" t="s">
        <v>17</v>
      </c>
      <c r="I261">
        <f>ROUND(85.7*0.36/100,9)</f>
        <v>0.30852000000000002</v>
      </c>
      <c r="J261">
        <v>0</v>
      </c>
      <c r="O261">
        <f t="shared" ref="O261:O269" si="169">ROUND(CP261,2)</f>
        <v>1573.43</v>
      </c>
      <c r="P261">
        <f t="shared" ref="P261:P269" si="170">ROUND(CQ261*I261,2)</f>
        <v>0</v>
      </c>
      <c r="Q261">
        <f t="shared" ref="Q261:Q269" si="171">ROUND(CR261*I261,2)</f>
        <v>1525.11</v>
      </c>
      <c r="R261">
        <f t="shared" ref="R261:R269" si="172">ROUND(CS261*I261,2)</f>
        <v>620.86</v>
      </c>
      <c r="S261">
        <f t="shared" ref="S261:S269" si="173">ROUND(CT261*I261,2)</f>
        <v>48.32</v>
      </c>
      <c r="T261">
        <f t="shared" ref="T261:T269" si="174">ROUND(CU261*I261,2)</f>
        <v>0</v>
      </c>
      <c r="U261">
        <f t="shared" ref="U261:U269" si="175">CV261*I261</f>
        <v>0.32394600000000001</v>
      </c>
      <c r="V261">
        <f t="shared" ref="V261:V269" si="176">CW261*I261</f>
        <v>0</v>
      </c>
      <c r="W261">
        <f t="shared" ref="W261:W269" si="177">ROUND(CX261*I261,2)</f>
        <v>0</v>
      </c>
      <c r="X261">
        <f t="shared" ref="X261:X269" si="178">ROUND(CY261,2)</f>
        <v>33.82</v>
      </c>
      <c r="Y261">
        <f t="shared" ref="Y261:Y269" si="179">ROUND(CZ261,2)</f>
        <v>4.83</v>
      </c>
      <c r="AA261">
        <v>37598633</v>
      </c>
      <c r="AB261">
        <f t="shared" ref="AB261:AB269" si="180">ROUND((AC261+AD261+AF261),6)</f>
        <v>5099.91</v>
      </c>
      <c r="AC261">
        <f>ROUND((ES261),6)</f>
        <v>0</v>
      </c>
      <c r="AD261">
        <f>ROUND((((ET261)-(EU261))+AE261),6)</f>
        <v>4943.3</v>
      </c>
      <c r="AE261">
        <f>ROUND((EU261),6)</f>
        <v>2012.38</v>
      </c>
      <c r="AF261">
        <f>ROUND((EV261),6)</f>
        <v>156.61000000000001</v>
      </c>
      <c r="AG261">
        <f t="shared" ref="AG261:AG269" si="181">ROUND((AP261),6)</f>
        <v>0</v>
      </c>
      <c r="AH261">
        <f>(EW261)</f>
        <v>1.05</v>
      </c>
      <c r="AI261">
        <f>(EX261)</f>
        <v>0</v>
      </c>
      <c r="AJ261">
        <f t="shared" ref="AJ261:AJ269" si="182">ROUND((AS261),6)</f>
        <v>0</v>
      </c>
      <c r="AK261">
        <v>5099.91</v>
      </c>
      <c r="AL261">
        <v>0</v>
      </c>
      <c r="AM261">
        <v>4943.3</v>
      </c>
      <c r="AN261">
        <v>2012.38</v>
      </c>
      <c r="AO261">
        <v>156.61000000000001</v>
      </c>
      <c r="AP261">
        <v>0</v>
      </c>
      <c r="AQ261">
        <v>1.05</v>
      </c>
      <c r="AR261">
        <v>0</v>
      </c>
      <c r="AS261">
        <v>0</v>
      </c>
      <c r="AT261">
        <v>70</v>
      </c>
      <c r="AU261">
        <v>10</v>
      </c>
      <c r="AV261">
        <v>1</v>
      </c>
      <c r="AW261">
        <v>1</v>
      </c>
      <c r="AZ261">
        <v>1</v>
      </c>
      <c r="BA261">
        <v>1</v>
      </c>
      <c r="BB261">
        <v>1</v>
      </c>
      <c r="BC261">
        <v>1</v>
      </c>
      <c r="BD261" t="s">
        <v>3</v>
      </c>
      <c r="BE261" t="s">
        <v>3</v>
      </c>
      <c r="BF261" t="s">
        <v>3</v>
      </c>
      <c r="BG261" t="s">
        <v>3</v>
      </c>
      <c r="BH261">
        <v>0</v>
      </c>
      <c r="BI261">
        <v>4</v>
      </c>
      <c r="BJ261" t="s">
        <v>111</v>
      </c>
      <c r="BM261">
        <v>0</v>
      </c>
      <c r="BN261">
        <v>0</v>
      </c>
      <c r="BO261" t="s">
        <v>3</v>
      </c>
      <c r="BP261">
        <v>0</v>
      </c>
      <c r="BQ261">
        <v>1</v>
      </c>
      <c r="BR261">
        <v>0</v>
      </c>
      <c r="BS261">
        <v>1</v>
      </c>
      <c r="BT261">
        <v>1</v>
      </c>
      <c r="BU261">
        <v>1</v>
      </c>
      <c r="BV261">
        <v>1</v>
      </c>
      <c r="BW261">
        <v>1</v>
      </c>
      <c r="BX261">
        <v>1</v>
      </c>
      <c r="BY261" t="s">
        <v>3</v>
      </c>
      <c r="BZ261">
        <v>70</v>
      </c>
      <c r="CA261">
        <v>10</v>
      </c>
      <c r="CF261">
        <v>0</v>
      </c>
      <c r="CG261">
        <v>0</v>
      </c>
      <c r="CM261">
        <v>0</v>
      </c>
      <c r="CN261" t="s">
        <v>3</v>
      </c>
      <c r="CO261">
        <v>0</v>
      </c>
      <c r="CP261">
        <f t="shared" ref="CP261:CP269" si="183">(P261+Q261+S261)</f>
        <v>1573.4299999999998</v>
      </c>
      <c r="CQ261">
        <f t="shared" ref="CQ261:CQ269" si="184">(AC261*BC261*AW261)</f>
        <v>0</v>
      </c>
      <c r="CR261">
        <f>((((ET261)*BB261-(EU261)*BS261)+AE261*BS261)*AV261)</f>
        <v>4943.3</v>
      </c>
      <c r="CS261">
        <f t="shared" ref="CS261:CS269" si="185">(AE261*BS261*AV261)</f>
        <v>2012.38</v>
      </c>
      <c r="CT261">
        <f t="shared" ref="CT261:CT269" si="186">(AF261*BA261*AV261)</f>
        <v>156.61000000000001</v>
      </c>
      <c r="CU261">
        <f t="shared" ref="CU261:CU269" si="187">AG261</f>
        <v>0</v>
      </c>
      <c r="CV261">
        <f t="shared" ref="CV261:CV269" si="188">(AH261*AV261)</f>
        <v>1.05</v>
      </c>
      <c r="CW261">
        <f t="shared" ref="CW261:CW269" si="189">AI261</f>
        <v>0</v>
      </c>
      <c r="CX261">
        <f t="shared" ref="CX261:CX269" si="190">AJ261</f>
        <v>0</v>
      </c>
      <c r="CY261">
        <f t="shared" ref="CY261:CY269" si="191">((S261*BZ261)/100)</f>
        <v>33.823999999999998</v>
      </c>
      <c r="CZ261">
        <f t="shared" ref="CZ261:CZ269" si="192">((S261*CA261)/100)</f>
        <v>4.8319999999999999</v>
      </c>
      <c r="DC261" t="s">
        <v>3</v>
      </c>
      <c r="DD261" t="s">
        <v>3</v>
      </c>
      <c r="DE261" t="s">
        <v>3</v>
      </c>
      <c r="DF261" t="s">
        <v>3</v>
      </c>
      <c r="DG261" t="s">
        <v>3</v>
      </c>
      <c r="DH261" t="s">
        <v>3</v>
      </c>
      <c r="DI261" t="s">
        <v>3</v>
      </c>
      <c r="DJ261" t="s">
        <v>3</v>
      </c>
      <c r="DK261" t="s">
        <v>3</v>
      </c>
      <c r="DL261" t="s">
        <v>3</v>
      </c>
      <c r="DM261" t="s">
        <v>3</v>
      </c>
      <c r="DN261">
        <v>0</v>
      </c>
      <c r="DO261">
        <v>0</v>
      </c>
      <c r="DP261">
        <v>1</v>
      </c>
      <c r="DQ261">
        <v>1</v>
      </c>
      <c r="DU261">
        <v>1007</v>
      </c>
      <c r="DV261" t="s">
        <v>17</v>
      </c>
      <c r="DW261" t="s">
        <v>17</v>
      </c>
      <c r="DX261">
        <v>100</v>
      </c>
      <c r="EE261">
        <v>34176748</v>
      </c>
      <c r="EF261">
        <v>1</v>
      </c>
      <c r="EG261" t="s">
        <v>19</v>
      </c>
      <c r="EH261">
        <v>0</v>
      </c>
      <c r="EI261" t="s">
        <v>3</v>
      </c>
      <c r="EJ261">
        <v>4</v>
      </c>
      <c r="EK261">
        <v>0</v>
      </c>
      <c r="EL261" t="s">
        <v>20</v>
      </c>
      <c r="EM261" t="s">
        <v>21</v>
      </c>
      <c r="EO261" t="s">
        <v>3</v>
      </c>
      <c r="EQ261">
        <v>0</v>
      </c>
      <c r="ER261">
        <v>5099.91</v>
      </c>
      <c r="ES261">
        <v>0</v>
      </c>
      <c r="ET261">
        <v>4943.3</v>
      </c>
      <c r="EU261">
        <v>2012.38</v>
      </c>
      <c r="EV261">
        <v>156.61000000000001</v>
      </c>
      <c r="EW261">
        <v>1.05</v>
      </c>
      <c r="EX261">
        <v>0</v>
      </c>
      <c r="EY261">
        <v>0</v>
      </c>
      <c r="FQ261">
        <v>0</v>
      </c>
      <c r="FR261">
        <f t="shared" ref="FR261:FR269" si="193">ROUND(IF(AND(BH261=3,BI261=3),P261,0),2)</f>
        <v>0</v>
      </c>
      <c r="FS261">
        <v>0</v>
      </c>
      <c r="FX261">
        <v>70</v>
      </c>
      <c r="FY261">
        <v>10</v>
      </c>
      <c r="GA261" t="s">
        <v>3</v>
      </c>
      <c r="GD261">
        <v>0</v>
      </c>
      <c r="GF261">
        <v>677468817</v>
      </c>
      <c r="GG261">
        <v>2</v>
      </c>
      <c r="GH261">
        <v>1</v>
      </c>
      <c r="GI261">
        <v>-2</v>
      </c>
      <c r="GJ261">
        <v>0</v>
      </c>
      <c r="GK261">
        <f>ROUND(R261*(R12)/100,2)</f>
        <v>670.53</v>
      </c>
      <c r="GL261">
        <f t="shared" ref="GL261:GL269" si="194">ROUND(IF(AND(BH261=3,BI261=3,FS261&lt;&gt;0),P261,0),2)</f>
        <v>0</v>
      </c>
      <c r="GM261">
        <f>ROUND(O261+X261+Y261+GK261,2)+GX261</f>
        <v>2282.61</v>
      </c>
      <c r="GN261">
        <f>IF(OR(BI261=0,BI261=1),ROUND(O261+X261+Y261+GK261,2),0)</f>
        <v>0</v>
      </c>
      <c r="GO261">
        <f>IF(BI261=2,ROUND(O261+X261+Y261+GK261,2),0)</f>
        <v>0</v>
      </c>
      <c r="GP261">
        <f>IF(BI261=4,ROUND(O261+X261+Y261+GK261,2)+GX261,0)</f>
        <v>2282.61</v>
      </c>
      <c r="GR261">
        <v>0</v>
      </c>
      <c r="GS261">
        <v>3</v>
      </c>
      <c r="GT261">
        <v>0</v>
      </c>
      <c r="GU261" t="s">
        <v>3</v>
      </c>
      <c r="GV261">
        <f t="shared" ref="GV261:GV269" si="195">ROUND(GT261,6)</f>
        <v>0</v>
      </c>
      <c r="GW261">
        <v>1</v>
      </c>
      <c r="GX261">
        <f t="shared" ref="GX261:GX269" si="196">ROUND(GV261*GW261*I261,2)</f>
        <v>0</v>
      </c>
      <c r="HA261">
        <v>0</v>
      </c>
      <c r="HB261">
        <v>0</v>
      </c>
      <c r="IK261">
        <v>0</v>
      </c>
    </row>
    <row r="262" spans="1:245" x14ac:dyDescent="0.2">
      <c r="A262">
        <v>17</v>
      </c>
      <c r="B262">
        <v>1</v>
      </c>
      <c r="C262">
        <f>ROW(SmtRes!A124)</f>
        <v>124</v>
      </c>
      <c r="D262">
        <f>ROW(EtalonRes!A124)</f>
        <v>124</v>
      </c>
      <c r="E262" t="s">
        <v>160</v>
      </c>
      <c r="F262" t="s">
        <v>113</v>
      </c>
      <c r="G262" t="s">
        <v>114</v>
      </c>
      <c r="H262" t="s">
        <v>115</v>
      </c>
      <c r="I262">
        <f>ROUND(I261*100,9)</f>
        <v>30.852</v>
      </c>
      <c r="J262">
        <v>0</v>
      </c>
      <c r="O262">
        <f t="shared" si="169"/>
        <v>1736.35</v>
      </c>
      <c r="P262">
        <f t="shared" si="170"/>
        <v>0</v>
      </c>
      <c r="Q262">
        <f t="shared" si="171"/>
        <v>1736.35</v>
      </c>
      <c r="R262">
        <f t="shared" si="172"/>
        <v>1290.23</v>
      </c>
      <c r="S262">
        <f t="shared" si="173"/>
        <v>0</v>
      </c>
      <c r="T262">
        <f t="shared" si="174"/>
        <v>0</v>
      </c>
      <c r="U262">
        <f t="shared" si="175"/>
        <v>0</v>
      </c>
      <c r="V262">
        <f t="shared" si="176"/>
        <v>0</v>
      </c>
      <c r="W262">
        <f t="shared" si="177"/>
        <v>0</v>
      </c>
      <c r="X262">
        <f t="shared" si="178"/>
        <v>0</v>
      </c>
      <c r="Y262">
        <f t="shared" si="179"/>
        <v>0</v>
      </c>
      <c r="AA262">
        <v>37598633</v>
      </c>
      <c r="AB262">
        <f t="shared" si="180"/>
        <v>56.28</v>
      </c>
      <c r="AC262">
        <f>ROUND((ES262),6)</f>
        <v>0</v>
      </c>
      <c r="AD262">
        <f>ROUND((((ET262)-(EU262))+AE262),6)</f>
        <v>56.28</v>
      </c>
      <c r="AE262">
        <f>ROUND((EU262),6)</f>
        <v>41.82</v>
      </c>
      <c r="AF262">
        <f>ROUND((EV262),6)</f>
        <v>0</v>
      </c>
      <c r="AG262">
        <f t="shared" si="181"/>
        <v>0</v>
      </c>
      <c r="AH262">
        <f>(EW262)</f>
        <v>0</v>
      </c>
      <c r="AI262">
        <f>(EX262)</f>
        <v>0</v>
      </c>
      <c r="AJ262">
        <f t="shared" si="182"/>
        <v>0</v>
      </c>
      <c r="AK262">
        <v>56.28</v>
      </c>
      <c r="AL262">
        <v>0</v>
      </c>
      <c r="AM262">
        <v>56.28</v>
      </c>
      <c r="AN262">
        <v>41.82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1</v>
      </c>
      <c r="AW262">
        <v>1</v>
      </c>
      <c r="AZ262">
        <v>1</v>
      </c>
      <c r="BA262">
        <v>1</v>
      </c>
      <c r="BB262">
        <v>1</v>
      </c>
      <c r="BC262">
        <v>1</v>
      </c>
      <c r="BD262" t="s">
        <v>3</v>
      </c>
      <c r="BE262" t="s">
        <v>3</v>
      </c>
      <c r="BF262" t="s">
        <v>3</v>
      </c>
      <c r="BG262" t="s">
        <v>3</v>
      </c>
      <c r="BH262">
        <v>0</v>
      </c>
      <c r="BI262">
        <v>4</v>
      </c>
      <c r="BJ262" t="s">
        <v>116</v>
      </c>
      <c r="BM262">
        <v>1</v>
      </c>
      <c r="BN262">
        <v>0</v>
      </c>
      <c r="BO262" t="s">
        <v>3</v>
      </c>
      <c r="BP262">
        <v>0</v>
      </c>
      <c r="BQ262">
        <v>1</v>
      </c>
      <c r="BR262">
        <v>0</v>
      </c>
      <c r="BS262">
        <v>1</v>
      </c>
      <c r="BT262">
        <v>1</v>
      </c>
      <c r="BU262">
        <v>1</v>
      </c>
      <c r="BV262">
        <v>1</v>
      </c>
      <c r="BW262">
        <v>1</v>
      </c>
      <c r="BX262">
        <v>1</v>
      </c>
      <c r="BY262" t="s">
        <v>3</v>
      </c>
      <c r="BZ262">
        <v>0</v>
      </c>
      <c r="CA262">
        <v>0</v>
      </c>
      <c r="CF262">
        <v>0</v>
      </c>
      <c r="CG262">
        <v>0</v>
      </c>
      <c r="CM262">
        <v>0</v>
      </c>
      <c r="CN262" t="s">
        <v>3</v>
      </c>
      <c r="CO262">
        <v>0</v>
      </c>
      <c r="CP262">
        <f t="shared" si="183"/>
        <v>1736.35</v>
      </c>
      <c r="CQ262">
        <f t="shared" si="184"/>
        <v>0</v>
      </c>
      <c r="CR262">
        <f>((((ET262)*BB262-(EU262)*BS262)+AE262*BS262)*AV262)</f>
        <v>56.28</v>
      </c>
      <c r="CS262">
        <f t="shared" si="185"/>
        <v>41.82</v>
      </c>
      <c r="CT262">
        <f t="shared" si="186"/>
        <v>0</v>
      </c>
      <c r="CU262">
        <f t="shared" si="187"/>
        <v>0</v>
      </c>
      <c r="CV262">
        <f t="shared" si="188"/>
        <v>0</v>
      </c>
      <c r="CW262">
        <f t="shared" si="189"/>
        <v>0</v>
      </c>
      <c r="CX262">
        <f t="shared" si="190"/>
        <v>0</v>
      </c>
      <c r="CY262">
        <f t="shared" si="191"/>
        <v>0</v>
      </c>
      <c r="CZ262">
        <f t="shared" si="192"/>
        <v>0</v>
      </c>
      <c r="DC262" t="s">
        <v>3</v>
      </c>
      <c r="DD262" t="s">
        <v>3</v>
      </c>
      <c r="DE262" t="s">
        <v>3</v>
      </c>
      <c r="DF262" t="s">
        <v>3</v>
      </c>
      <c r="DG262" t="s">
        <v>3</v>
      </c>
      <c r="DH262" t="s">
        <v>3</v>
      </c>
      <c r="DI262" t="s">
        <v>3</v>
      </c>
      <c r="DJ262" t="s">
        <v>3</v>
      </c>
      <c r="DK262" t="s">
        <v>3</v>
      </c>
      <c r="DL262" t="s">
        <v>3</v>
      </c>
      <c r="DM262" t="s">
        <v>3</v>
      </c>
      <c r="DN262">
        <v>0</v>
      </c>
      <c r="DO262">
        <v>0</v>
      </c>
      <c r="DP262">
        <v>1</v>
      </c>
      <c r="DQ262">
        <v>1</v>
      </c>
      <c r="DU262">
        <v>1007</v>
      </c>
      <c r="DV262" t="s">
        <v>115</v>
      </c>
      <c r="DW262" t="s">
        <v>115</v>
      </c>
      <c r="DX262">
        <v>1</v>
      </c>
      <c r="EE262">
        <v>34176750</v>
      </c>
      <c r="EF262">
        <v>1</v>
      </c>
      <c r="EG262" t="s">
        <v>19</v>
      </c>
      <c r="EH262">
        <v>0</v>
      </c>
      <c r="EI262" t="s">
        <v>3</v>
      </c>
      <c r="EJ262">
        <v>4</v>
      </c>
      <c r="EK262">
        <v>1</v>
      </c>
      <c r="EL262" t="s">
        <v>35</v>
      </c>
      <c r="EM262" t="s">
        <v>21</v>
      </c>
      <c r="EO262" t="s">
        <v>3</v>
      </c>
      <c r="EQ262">
        <v>0</v>
      </c>
      <c r="ER262">
        <v>56.28</v>
      </c>
      <c r="ES262">
        <v>0</v>
      </c>
      <c r="ET262">
        <v>56.28</v>
      </c>
      <c r="EU262">
        <v>41.82</v>
      </c>
      <c r="EV262">
        <v>0</v>
      </c>
      <c r="EW262">
        <v>0</v>
      </c>
      <c r="EX262">
        <v>0</v>
      </c>
      <c r="EY262">
        <v>0</v>
      </c>
      <c r="FQ262">
        <v>0</v>
      </c>
      <c r="FR262">
        <f t="shared" si="193"/>
        <v>0</v>
      </c>
      <c r="FS262">
        <v>0</v>
      </c>
      <c r="FX262">
        <v>0</v>
      </c>
      <c r="FY262">
        <v>0</v>
      </c>
      <c r="GA262" t="s">
        <v>3</v>
      </c>
      <c r="GD262">
        <v>1</v>
      </c>
      <c r="GF262">
        <v>-636474766</v>
      </c>
      <c r="GG262">
        <v>2</v>
      </c>
      <c r="GH262">
        <v>1</v>
      </c>
      <c r="GI262">
        <v>-2</v>
      </c>
      <c r="GJ262">
        <v>0</v>
      </c>
      <c r="GK262">
        <v>0</v>
      </c>
      <c r="GL262">
        <f t="shared" si="194"/>
        <v>0</v>
      </c>
      <c r="GM262">
        <f>ROUND(O262+X262+Y262,2)+GX262</f>
        <v>1736.35</v>
      </c>
      <c r="GN262">
        <f>IF(OR(BI262=0,BI262=1),ROUND(O262+X262+Y262,2),0)</f>
        <v>0</v>
      </c>
      <c r="GO262">
        <f>IF(BI262=2,ROUND(O262+X262+Y262,2),0)</f>
        <v>0</v>
      </c>
      <c r="GP262">
        <f>IF(BI262=4,ROUND(O262+X262+Y262,2)+GX262,0)</f>
        <v>1736.35</v>
      </c>
      <c r="GR262">
        <v>0</v>
      </c>
      <c r="GS262">
        <v>3</v>
      </c>
      <c r="GT262">
        <v>0</v>
      </c>
      <c r="GU262" t="s">
        <v>3</v>
      </c>
      <c r="GV262">
        <f t="shared" si="195"/>
        <v>0</v>
      </c>
      <c r="GW262">
        <v>1</v>
      </c>
      <c r="GX262">
        <f t="shared" si="196"/>
        <v>0</v>
      </c>
      <c r="HA262">
        <v>0</v>
      </c>
      <c r="HB262">
        <v>0</v>
      </c>
      <c r="IK262">
        <v>0</v>
      </c>
    </row>
    <row r="263" spans="1:245" x14ac:dyDescent="0.2">
      <c r="A263">
        <v>17</v>
      </c>
      <c r="B263">
        <v>1</v>
      </c>
      <c r="C263">
        <f>ROW(SmtRes!A125)</f>
        <v>125</v>
      </c>
      <c r="D263">
        <f>ROW(EtalonRes!A125)</f>
        <v>125</v>
      </c>
      <c r="E263" t="s">
        <v>161</v>
      </c>
      <c r="F263" t="s">
        <v>118</v>
      </c>
      <c r="G263" t="s">
        <v>119</v>
      </c>
      <c r="H263" t="s">
        <v>115</v>
      </c>
      <c r="I263">
        <f>ROUND(I262,9)</f>
        <v>30.852</v>
      </c>
      <c r="J263">
        <v>0</v>
      </c>
      <c r="O263">
        <f t="shared" si="169"/>
        <v>14567.08</v>
      </c>
      <c r="P263">
        <f t="shared" si="170"/>
        <v>0</v>
      </c>
      <c r="Q263">
        <f t="shared" si="171"/>
        <v>14567.08</v>
      </c>
      <c r="R263">
        <f t="shared" si="172"/>
        <v>10821.03</v>
      </c>
      <c r="S263">
        <f t="shared" si="173"/>
        <v>0</v>
      </c>
      <c r="T263">
        <f t="shared" si="174"/>
        <v>0</v>
      </c>
      <c r="U263">
        <f t="shared" si="175"/>
        <v>0</v>
      </c>
      <c r="V263">
        <f t="shared" si="176"/>
        <v>0</v>
      </c>
      <c r="W263">
        <f t="shared" si="177"/>
        <v>0</v>
      </c>
      <c r="X263">
        <f t="shared" si="178"/>
        <v>0</v>
      </c>
      <c r="Y263">
        <f t="shared" si="179"/>
        <v>0</v>
      </c>
      <c r="AA263">
        <v>37598633</v>
      </c>
      <c r="AB263">
        <f t="shared" si="180"/>
        <v>472.16</v>
      </c>
      <c r="AC263">
        <f>ROUND((ES263),6)</f>
        <v>0</v>
      </c>
      <c r="AD263">
        <f>ROUND(((((ET263*26))-((EU263*26)))+AE263),6)</f>
        <v>472.16</v>
      </c>
      <c r="AE263">
        <f>ROUND(((EU263*26)),6)</f>
        <v>350.74</v>
      </c>
      <c r="AF263">
        <f>ROUND(((EV263*26)),6)</f>
        <v>0</v>
      </c>
      <c r="AG263">
        <f t="shared" si="181"/>
        <v>0</v>
      </c>
      <c r="AH263">
        <f>((EW263*26))</f>
        <v>0</v>
      </c>
      <c r="AI263">
        <f>((EX263*26))</f>
        <v>0</v>
      </c>
      <c r="AJ263">
        <f t="shared" si="182"/>
        <v>0</v>
      </c>
      <c r="AK263">
        <v>18.16</v>
      </c>
      <c r="AL263">
        <v>0</v>
      </c>
      <c r="AM263">
        <v>18.16</v>
      </c>
      <c r="AN263">
        <v>13.49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1</v>
      </c>
      <c r="AW263">
        <v>1</v>
      </c>
      <c r="AZ263">
        <v>1</v>
      </c>
      <c r="BA263">
        <v>1</v>
      </c>
      <c r="BB263">
        <v>1</v>
      </c>
      <c r="BC263">
        <v>1</v>
      </c>
      <c r="BD263" t="s">
        <v>3</v>
      </c>
      <c r="BE263" t="s">
        <v>3</v>
      </c>
      <c r="BF263" t="s">
        <v>3</v>
      </c>
      <c r="BG263" t="s">
        <v>3</v>
      </c>
      <c r="BH263">
        <v>0</v>
      </c>
      <c r="BI263">
        <v>4</v>
      </c>
      <c r="BJ263" t="s">
        <v>120</v>
      </c>
      <c r="BM263">
        <v>1</v>
      </c>
      <c r="BN263">
        <v>0</v>
      </c>
      <c r="BO263" t="s">
        <v>3</v>
      </c>
      <c r="BP263">
        <v>0</v>
      </c>
      <c r="BQ263">
        <v>1</v>
      </c>
      <c r="BR263">
        <v>0</v>
      </c>
      <c r="BS263">
        <v>1</v>
      </c>
      <c r="BT263">
        <v>1</v>
      </c>
      <c r="BU263">
        <v>1</v>
      </c>
      <c r="BV263">
        <v>1</v>
      </c>
      <c r="BW263">
        <v>1</v>
      </c>
      <c r="BX263">
        <v>1</v>
      </c>
      <c r="BY263" t="s">
        <v>3</v>
      </c>
      <c r="BZ263">
        <v>0</v>
      </c>
      <c r="CA263">
        <v>0</v>
      </c>
      <c r="CF263">
        <v>0</v>
      </c>
      <c r="CG263">
        <v>0</v>
      </c>
      <c r="CM263">
        <v>0</v>
      </c>
      <c r="CN263" t="s">
        <v>3</v>
      </c>
      <c r="CO263">
        <v>0</v>
      </c>
      <c r="CP263">
        <f t="shared" si="183"/>
        <v>14567.08</v>
      </c>
      <c r="CQ263">
        <f t="shared" si="184"/>
        <v>0</v>
      </c>
      <c r="CR263">
        <f>(((((ET263*26))*BB263-((EU263*26))*BS263)+AE263*BS263)*AV263)</f>
        <v>472.16</v>
      </c>
      <c r="CS263">
        <f t="shared" si="185"/>
        <v>350.74</v>
      </c>
      <c r="CT263">
        <f t="shared" si="186"/>
        <v>0</v>
      </c>
      <c r="CU263">
        <f t="shared" si="187"/>
        <v>0</v>
      </c>
      <c r="CV263">
        <f t="shared" si="188"/>
        <v>0</v>
      </c>
      <c r="CW263">
        <f t="shared" si="189"/>
        <v>0</v>
      </c>
      <c r="CX263">
        <f t="shared" si="190"/>
        <v>0</v>
      </c>
      <c r="CY263">
        <f t="shared" si="191"/>
        <v>0</v>
      </c>
      <c r="CZ263">
        <f t="shared" si="192"/>
        <v>0</v>
      </c>
      <c r="DC263" t="s">
        <v>3</v>
      </c>
      <c r="DD263" t="s">
        <v>3</v>
      </c>
      <c r="DE263" t="s">
        <v>121</v>
      </c>
      <c r="DF263" t="s">
        <v>121</v>
      </c>
      <c r="DG263" t="s">
        <v>121</v>
      </c>
      <c r="DH263" t="s">
        <v>3</v>
      </c>
      <c r="DI263" t="s">
        <v>121</v>
      </c>
      <c r="DJ263" t="s">
        <v>121</v>
      </c>
      <c r="DK263" t="s">
        <v>3</v>
      </c>
      <c r="DL263" t="s">
        <v>3</v>
      </c>
      <c r="DM263" t="s">
        <v>3</v>
      </c>
      <c r="DN263">
        <v>0</v>
      </c>
      <c r="DO263">
        <v>0</v>
      </c>
      <c r="DP263">
        <v>1</v>
      </c>
      <c r="DQ263">
        <v>1</v>
      </c>
      <c r="DU263">
        <v>1007</v>
      </c>
      <c r="DV263" t="s">
        <v>115</v>
      </c>
      <c r="DW263" t="s">
        <v>115</v>
      </c>
      <c r="DX263">
        <v>1</v>
      </c>
      <c r="EE263">
        <v>34176750</v>
      </c>
      <c r="EF263">
        <v>1</v>
      </c>
      <c r="EG263" t="s">
        <v>19</v>
      </c>
      <c r="EH263">
        <v>0</v>
      </c>
      <c r="EI263" t="s">
        <v>3</v>
      </c>
      <c r="EJ263">
        <v>4</v>
      </c>
      <c r="EK263">
        <v>1</v>
      </c>
      <c r="EL263" t="s">
        <v>35</v>
      </c>
      <c r="EM263" t="s">
        <v>21</v>
      </c>
      <c r="EO263" t="s">
        <v>3</v>
      </c>
      <c r="EQ263">
        <v>0</v>
      </c>
      <c r="ER263">
        <v>18.16</v>
      </c>
      <c r="ES263">
        <v>0</v>
      </c>
      <c r="ET263">
        <v>18.16</v>
      </c>
      <c r="EU263">
        <v>13.49</v>
      </c>
      <c r="EV263">
        <v>0</v>
      </c>
      <c r="EW263">
        <v>0</v>
      </c>
      <c r="EX263">
        <v>0</v>
      </c>
      <c r="EY263">
        <v>0</v>
      </c>
      <c r="FQ263">
        <v>0</v>
      </c>
      <c r="FR263">
        <f t="shared" si="193"/>
        <v>0</v>
      </c>
      <c r="FS263">
        <v>0</v>
      </c>
      <c r="FX263">
        <v>0</v>
      </c>
      <c r="FY263">
        <v>0</v>
      </c>
      <c r="GA263" t="s">
        <v>3</v>
      </c>
      <c r="GD263">
        <v>1</v>
      </c>
      <c r="GF263">
        <v>-514901743</v>
      </c>
      <c r="GG263">
        <v>2</v>
      </c>
      <c r="GH263">
        <v>1</v>
      </c>
      <c r="GI263">
        <v>-2</v>
      </c>
      <c r="GJ263">
        <v>0</v>
      </c>
      <c r="GK263">
        <v>0</v>
      </c>
      <c r="GL263">
        <f t="shared" si="194"/>
        <v>0</v>
      </c>
      <c r="GM263">
        <f>ROUND(O263+X263+Y263,2)+GX263</f>
        <v>14567.08</v>
      </c>
      <c r="GN263">
        <f>IF(OR(BI263=0,BI263=1),ROUND(O263+X263+Y263,2),0)</f>
        <v>0</v>
      </c>
      <c r="GO263">
        <f>IF(BI263=2,ROUND(O263+X263+Y263,2),0)</f>
        <v>0</v>
      </c>
      <c r="GP263">
        <f>IF(BI263=4,ROUND(O263+X263+Y263,2)+GX263,0)</f>
        <v>14567.08</v>
      </c>
      <c r="GR263">
        <v>0</v>
      </c>
      <c r="GS263">
        <v>3</v>
      </c>
      <c r="GT263">
        <v>0</v>
      </c>
      <c r="GU263" t="s">
        <v>3</v>
      </c>
      <c r="GV263">
        <f t="shared" si="195"/>
        <v>0</v>
      </c>
      <c r="GW263">
        <v>1</v>
      </c>
      <c r="GX263">
        <f t="shared" si="196"/>
        <v>0</v>
      </c>
      <c r="HA263">
        <v>0</v>
      </c>
      <c r="HB263">
        <v>0</v>
      </c>
      <c r="IK263">
        <v>0</v>
      </c>
    </row>
    <row r="264" spans="1:245" x14ac:dyDescent="0.2">
      <c r="A264">
        <v>17</v>
      </c>
      <c r="B264">
        <v>1</v>
      </c>
      <c r="C264">
        <f>ROW(SmtRes!A133)</f>
        <v>133</v>
      </c>
      <c r="D264">
        <f>ROW(EtalonRes!A133)</f>
        <v>133</v>
      </c>
      <c r="E264" t="s">
        <v>162</v>
      </c>
      <c r="F264" t="s">
        <v>42</v>
      </c>
      <c r="G264" t="s">
        <v>43</v>
      </c>
      <c r="H264" t="s">
        <v>17</v>
      </c>
      <c r="I264">
        <f>ROUND(85.7*0.1/100,9)</f>
        <v>8.5699999999999998E-2</v>
      </c>
      <c r="J264">
        <v>0</v>
      </c>
      <c r="O264">
        <f t="shared" si="169"/>
        <v>6118.15</v>
      </c>
      <c r="P264">
        <f t="shared" si="170"/>
        <v>5284.19</v>
      </c>
      <c r="Q264">
        <f t="shared" si="171"/>
        <v>614.77</v>
      </c>
      <c r="R264">
        <f t="shared" si="172"/>
        <v>228.79</v>
      </c>
      <c r="S264">
        <f t="shared" si="173"/>
        <v>219.19</v>
      </c>
      <c r="T264">
        <f t="shared" si="174"/>
        <v>0</v>
      </c>
      <c r="U264">
        <f t="shared" si="175"/>
        <v>1.4191919999999998</v>
      </c>
      <c r="V264">
        <f t="shared" si="176"/>
        <v>0</v>
      </c>
      <c r="W264">
        <f t="shared" si="177"/>
        <v>0</v>
      </c>
      <c r="X264">
        <f t="shared" si="178"/>
        <v>153.43</v>
      </c>
      <c r="Y264">
        <f t="shared" si="179"/>
        <v>21.92</v>
      </c>
      <c r="AA264">
        <v>37598633</v>
      </c>
      <c r="AB264">
        <f t="shared" si="180"/>
        <v>71390.39</v>
      </c>
      <c r="AC264">
        <f>ROUND((ES264),6)</f>
        <v>61659.15</v>
      </c>
      <c r="AD264">
        <f t="shared" ref="AD264:AD269" si="197">ROUND((((ET264)-(EU264))+AE264),6)</f>
        <v>7173.55</v>
      </c>
      <c r="AE264">
        <f t="shared" ref="AE264:AF269" si="198">ROUND((EU264),6)</f>
        <v>2669.64</v>
      </c>
      <c r="AF264">
        <f t="shared" si="198"/>
        <v>2557.69</v>
      </c>
      <c r="AG264">
        <f t="shared" si="181"/>
        <v>0</v>
      </c>
      <c r="AH264">
        <f t="shared" ref="AH264:AI269" si="199">(EW264)</f>
        <v>16.559999999999999</v>
      </c>
      <c r="AI264">
        <f t="shared" si="199"/>
        <v>0</v>
      </c>
      <c r="AJ264">
        <f t="shared" si="182"/>
        <v>0</v>
      </c>
      <c r="AK264">
        <v>71390.39</v>
      </c>
      <c r="AL264">
        <v>61659.15</v>
      </c>
      <c r="AM264">
        <v>7173.55</v>
      </c>
      <c r="AN264">
        <v>2669.64</v>
      </c>
      <c r="AO264">
        <v>2557.69</v>
      </c>
      <c r="AP264">
        <v>0</v>
      </c>
      <c r="AQ264">
        <v>16.559999999999999</v>
      </c>
      <c r="AR264">
        <v>0</v>
      </c>
      <c r="AS264">
        <v>0</v>
      </c>
      <c r="AT264">
        <v>70</v>
      </c>
      <c r="AU264">
        <v>10</v>
      </c>
      <c r="AV264">
        <v>1</v>
      </c>
      <c r="AW264">
        <v>1</v>
      </c>
      <c r="AZ264">
        <v>1</v>
      </c>
      <c r="BA264">
        <v>1</v>
      </c>
      <c r="BB264">
        <v>1</v>
      </c>
      <c r="BC264">
        <v>1</v>
      </c>
      <c r="BD264" t="s">
        <v>3</v>
      </c>
      <c r="BE264" t="s">
        <v>3</v>
      </c>
      <c r="BF264" t="s">
        <v>3</v>
      </c>
      <c r="BG264" t="s">
        <v>3</v>
      </c>
      <c r="BH264">
        <v>0</v>
      </c>
      <c r="BI264">
        <v>4</v>
      </c>
      <c r="BJ264" t="s">
        <v>44</v>
      </c>
      <c r="BM264">
        <v>0</v>
      </c>
      <c r="BN264">
        <v>0</v>
      </c>
      <c r="BO264" t="s">
        <v>3</v>
      </c>
      <c r="BP264">
        <v>0</v>
      </c>
      <c r="BQ264">
        <v>1</v>
      </c>
      <c r="BR264">
        <v>0</v>
      </c>
      <c r="BS264">
        <v>1</v>
      </c>
      <c r="BT264">
        <v>1</v>
      </c>
      <c r="BU264">
        <v>1</v>
      </c>
      <c r="BV264">
        <v>1</v>
      </c>
      <c r="BW264">
        <v>1</v>
      </c>
      <c r="BX264">
        <v>1</v>
      </c>
      <c r="BY264" t="s">
        <v>3</v>
      </c>
      <c r="BZ264">
        <v>70</v>
      </c>
      <c r="CA264">
        <v>10</v>
      </c>
      <c r="CF264">
        <v>0</v>
      </c>
      <c r="CG264">
        <v>0</v>
      </c>
      <c r="CM264">
        <v>0</v>
      </c>
      <c r="CN264" t="s">
        <v>3</v>
      </c>
      <c r="CO264">
        <v>0</v>
      </c>
      <c r="CP264">
        <f t="shared" si="183"/>
        <v>6118.1499999999987</v>
      </c>
      <c r="CQ264">
        <f t="shared" si="184"/>
        <v>61659.15</v>
      </c>
      <c r="CR264">
        <f t="shared" ref="CR264:CR269" si="200">((((ET264)*BB264-(EU264)*BS264)+AE264*BS264)*AV264)</f>
        <v>7173.5499999999993</v>
      </c>
      <c r="CS264">
        <f t="shared" si="185"/>
        <v>2669.64</v>
      </c>
      <c r="CT264">
        <f t="shared" si="186"/>
        <v>2557.69</v>
      </c>
      <c r="CU264">
        <f t="shared" si="187"/>
        <v>0</v>
      </c>
      <c r="CV264">
        <f t="shared" si="188"/>
        <v>16.559999999999999</v>
      </c>
      <c r="CW264">
        <f t="shared" si="189"/>
        <v>0</v>
      </c>
      <c r="CX264">
        <f t="shared" si="190"/>
        <v>0</v>
      </c>
      <c r="CY264">
        <f t="shared" si="191"/>
        <v>153.43299999999999</v>
      </c>
      <c r="CZ264">
        <f t="shared" si="192"/>
        <v>21.919</v>
      </c>
      <c r="DC264" t="s">
        <v>3</v>
      </c>
      <c r="DD264" t="s">
        <v>3</v>
      </c>
      <c r="DE264" t="s">
        <v>3</v>
      </c>
      <c r="DF264" t="s">
        <v>3</v>
      </c>
      <c r="DG264" t="s">
        <v>3</v>
      </c>
      <c r="DH264" t="s">
        <v>3</v>
      </c>
      <c r="DI264" t="s">
        <v>3</v>
      </c>
      <c r="DJ264" t="s">
        <v>3</v>
      </c>
      <c r="DK264" t="s">
        <v>3</v>
      </c>
      <c r="DL264" t="s">
        <v>3</v>
      </c>
      <c r="DM264" t="s">
        <v>3</v>
      </c>
      <c r="DN264">
        <v>0</v>
      </c>
      <c r="DO264">
        <v>0</v>
      </c>
      <c r="DP264">
        <v>1</v>
      </c>
      <c r="DQ264">
        <v>1</v>
      </c>
      <c r="DU264">
        <v>1007</v>
      </c>
      <c r="DV264" t="s">
        <v>17</v>
      </c>
      <c r="DW264" t="s">
        <v>17</v>
      </c>
      <c r="DX264">
        <v>100</v>
      </c>
      <c r="EE264">
        <v>34176748</v>
      </c>
      <c r="EF264">
        <v>1</v>
      </c>
      <c r="EG264" t="s">
        <v>19</v>
      </c>
      <c r="EH264">
        <v>0</v>
      </c>
      <c r="EI264" t="s">
        <v>3</v>
      </c>
      <c r="EJ264">
        <v>4</v>
      </c>
      <c r="EK264">
        <v>0</v>
      </c>
      <c r="EL264" t="s">
        <v>20</v>
      </c>
      <c r="EM264" t="s">
        <v>21</v>
      </c>
      <c r="EO264" t="s">
        <v>3</v>
      </c>
      <c r="EQ264">
        <v>0</v>
      </c>
      <c r="ER264">
        <v>71390.39</v>
      </c>
      <c r="ES264">
        <v>61659.15</v>
      </c>
      <c r="ET264">
        <v>7173.55</v>
      </c>
      <c r="EU264">
        <v>2669.64</v>
      </c>
      <c r="EV264">
        <v>2557.69</v>
      </c>
      <c r="EW264">
        <v>16.559999999999999</v>
      </c>
      <c r="EX264">
        <v>0</v>
      </c>
      <c r="EY264">
        <v>0</v>
      </c>
      <c r="FQ264">
        <v>0</v>
      </c>
      <c r="FR264">
        <f t="shared" si="193"/>
        <v>0</v>
      </c>
      <c r="FS264">
        <v>0</v>
      </c>
      <c r="FX264">
        <v>70</v>
      </c>
      <c r="FY264">
        <v>10</v>
      </c>
      <c r="GA264" t="s">
        <v>3</v>
      </c>
      <c r="GD264">
        <v>0</v>
      </c>
      <c r="GF264">
        <v>-1632936602</v>
      </c>
      <c r="GG264">
        <v>2</v>
      </c>
      <c r="GH264">
        <v>1</v>
      </c>
      <c r="GI264">
        <v>-2</v>
      </c>
      <c r="GJ264">
        <v>0</v>
      </c>
      <c r="GK264">
        <f>ROUND(R264*(R12)/100,2)</f>
        <v>247.09</v>
      </c>
      <c r="GL264">
        <f t="shared" si="194"/>
        <v>0</v>
      </c>
      <c r="GM264">
        <f t="shared" ref="GM264:GM269" si="201">ROUND(O264+X264+Y264+GK264,2)+GX264</f>
        <v>6540.59</v>
      </c>
      <c r="GN264">
        <f t="shared" ref="GN264:GN269" si="202">IF(OR(BI264=0,BI264=1),ROUND(O264+X264+Y264+GK264,2),0)</f>
        <v>0</v>
      </c>
      <c r="GO264">
        <f t="shared" ref="GO264:GO269" si="203">IF(BI264=2,ROUND(O264+X264+Y264+GK264,2),0)</f>
        <v>0</v>
      </c>
      <c r="GP264">
        <f t="shared" ref="GP264:GP269" si="204">IF(BI264=4,ROUND(O264+X264+Y264+GK264,2)+GX264,0)</f>
        <v>6540.59</v>
      </c>
      <c r="GR264">
        <v>0</v>
      </c>
      <c r="GS264">
        <v>3</v>
      </c>
      <c r="GT264">
        <v>0</v>
      </c>
      <c r="GU264" t="s">
        <v>3</v>
      </c>
      <c r="GV264">
        <f t="shared" si="195"/>
        <v>0</v>
      </c>
      <c r="GW264">
        <v>1</v>
      </c>
      <c r="GX264">
        <f t="shared" si="196"/>
        <v>0</v>
      </c>
      <c r="HA264">
        <v>0</v>
      </c>
      <c r="HB264">
        <v>0</v>
      </c>
      <c r="IK264">
        <v>0</v>
      </c>
    </row>
    <row r="265" spans="1:245" x14ac:dyDescent="0.2">
      <c r="A265">
        <v>17</v>
      </c>
      <c r="B265">
        <v>1</v>
      </c>
      <c r="C265">
        <f>ROW(SmtRes!A142)</f>
        <v>142</v>
      </c>
      <c r="D265">
        <f>ROW(EtalonRes!A142)</f>
        <v>142</v>
      </c>
      <c r="E265" t="s">
        <v>163</v>
      </c>
      <c r="F265" t="s">
        <v>46</v>
      </c>
      <c r="G265" t="s">
        <v>47</v>
      </c>
      <c r="H265" t="s">
        <v>17</v>
      </c>
      <c r="I265">
        <f>ROUND(I264,9)</f>
        <v>8.5699999999999998E-2</v>
      </c>
      <c r="J265">
        <v>0</v>
      </c>
      <c r="O265">
        <f t="shared" si="169"/>
        <v>24692.240000000002</v>
      </c>
      <c r="P265">
        <f t="shared" si="170"/>
        <v>20652.400000000001</v>
      </c>
      <c r="Q265">
        <f t="shared" si="171"/>
        <v>3711.05</v>
      </c>
      <c r="R265">
        <f t="shared" si="172"/>
        <v>1362.15</v>
      </c>
      <c r="S265">
        <f t="shared" si="173"/>
        <v>328.79</v>
      </c>
      <c r="T265">
        <f t="shared" si="174"/>
        <v>0</v>
      </c>
      <c r="U265">
        <f t="shared" si="175"/>
        <v>2.1287880000000001</v>
      </c>
      <c r="V265">
        <f t="shared" si="176"/>
        <v>0</v>
      </c>
      <c r="W265">
        <f t="shared" si="177"/>
        <v>0</v>
      </c>
      <c r="X265">
        <f t="shared" si="178"/>
        <v>230.15</v>
      </c>
      <c r="Y265">
        <f t="shared" si="179"/>
        <v>32.880000000000003</v>
      </c>
      <c r="AA265">
        <v>37598633</v>
      </c>
      <c r="AB265">
        <f t="shared" si="180"/>
        <v>288124.17</v>
      </c>
      <c r="AC265">
        <f>ROUND((ES265),6)</f>
        <v>240984.87</v>
      </c>
      <c r="AD265">
        <f t="shared" si="197"/>
        <v>43302.76</v>
      </c>
      <c r="AE265">
        <f t="shared" si="198"/>
        <v>15894.37</v>
      </c>
      <c r="AF265">
        <f t="shared" si="198"/>
        <v>3836.54</v>
      </c>
      <c r="AG265">
        <f t="shared" si="181"/>
        <v>0</v>
      </c>
      <c r="AH265">
        <f t="shared" si="199"/>
        <v>24.84</v>
      </c>
      <c r="AI265">
        <f t="shared" si="199"/>
        <v>0</v>
      </c>
      <c r="AJ265">
        <f t="shared" si="182"/>
        <v>0</v>
      </c>
      <c r="AK265">
        <v>288124.17</v>
      </c>
      <c r="AL265">
        <v>240984.87</v>
      </c>
      <c r="AM265">
        <v>43302.76</v>
      </c>
      <c r="AN265">
        <v>15894.37</v>
      </c>
      <c r="AO265">
        <v>3836.54</v>
      </c>
      <c r="AP265">
        <v>0</v>
      </c>
      <c r="AQ265">
        <v>24.84</v>
      </c>
      <c r="AR265">
        <v>0</v>
      </c>
      <c r="AS265">
        <v>0</v>
      </c>
      <c r="AT265">
        <v>70</v>
      </c>
      <c r="AU265">
        <v>10</v>
      </c>
      <c r="AV265">
        <v>1</v>
      </c>
      <c r="AW265">
        <v>1</v>
      </c>
      <c r="AZ265">
        <v>1</v>
      </c>
      <c r="BA265">
        <v>1</v>
      </c>
      <c r="BB265">
        <v>1</v>
      </c>
      <c r="BC265">
        <v>1</v>
      </c>
      <c r="BD265" t="s">
        <v>3</v>
      </c>
      <c r="BE265" t="s">
        <v>3</v>
      </c>
      <c r="BF265" t="s">
        <v>3</v>
      </c>
      <c r="BG265" t="s">
        <v>3</v>
      </c>
      <c r="BH265">
        <v>0</v>
      </c>
      <c r="BI265">
        <v>4</v>
      </c>
      <c r="BJ265" t="s">
        <v>48</v>
      </c>
      <c r="BM265">
        <v>0</v>
      </c>
      <c r="BN265">
        <v>0</v>
      </c>
      <c r="BO265" t="s">
        <v>3</v>
      </c>
      <c r="BP265">
        <v>0</v>
      </c>
      <c r="BQ265">
        <v>1</v>
      </c>
      <c r="BR265">
        <v>0</v>
      </c>
      <c r="BS265">
        <v>1</v>
      </c>
      <c r="BT265">
        <v>1</v>
      </c>
      <c r="BU265">
        <v>1</v>
      </c>
      <c r="BV265">
        <v>1</v>
      </c>
      <c r="BW265">
        <v>1</v>
      </c>
      <c r="BX265">
        <v>1</v>
      </c>
      <c r="BY265" t="s">
        <v>3</v>
      </c>
      <c r="BZ265">
        <v>70</v>
      </c>
      <c r="CA265">
        <v>10</v>
      </c>
      <c r="CF265">
        <v>0</v>
      </c>
      <c r="CG265">
        <v>0</v>
      </c>
      <c r="CM265">
        <v>0</v>
      </c>
      <c r="CN265" t="s">
        <v>3</v>
      </c>
      <c r="CO265">
        <v>0</v>
      </c>
      <c r="CP265">
        <f t="shared" si="183"/>
        <v>24692.240000000002</v>
      </c>
      <c r="CQ265">
        <f t="shared" si="184"/>
        <v>240984.87</v>
      </c>
      <c r="CR265">
        <f t="shared" si="200"/>
        <v>43302.76</v>
      </c>
      <c r="CS265">
        <f t="shared" si="185"/>
        <v>15894.37</v>
      </c>
      <c r="CT265">
        <f t="shared" si="186"/>
        <v>3836.54</v>
      </c>
      <c r="CU265">
        <f t="shared" si="187"/>
        <v>0</v>
      </c>
      <c r="CV265">
        <f t="shared" si="188"/>
        <v>24.84</v>
      </c>
      <c r="CW265">
        <f t="shared" si="189"/>
        <v>0</v>
      </c>
      <c r="CX265">
        <f t="shared" si="190"/>
        <v>0</v>
      </c>
      <c r="CY265">
        <f t="shared" si="191"/>
        <v>230.15300000000002</v>
      </c>
      <c r="CZ265">
        <f t="shared" si="192"/>
        <v>32.878999999999998</v>
      </c>
      <c r="DC265" t="s">
        <v>3</v>
      </c>
      <c r="DD265" t="s">
        <v>3</v>
      </c>
      <c r="DE265" t="s">
        <v>3</v>
      </c>
      <c r="DF265" t="s">
        <v>3</v>
      </c>
      <c r="DG265" t="s">
        <v>3</v>
      </c>
      <c r="DH265" t="s">
        <v>3</v>
      </c>
      <c r="DI265" t="s">
        <v>3</v>
      </c>
      <c r="DJ265" t="s">
        <v>3</v>
      </c>
      <c r="DK265" t="s">
        <v>3</v>
      </c>
      <c r="DL265" t="s">
        <v>3</v>
      </c>
      <c r="DM265" t="s">
        <v>3</v>
      </c>
      <c r="DN265">
        <v>0</v>
      </c>
      <c r="DO265">
        <v>0</v>
      </c>
      <c r="DP265">
        <v>1</v>
      </c>
      <c r="DQ265">
        <v>1</v>
      </c>
      <c r="DU265">
        <v>1007</v>
      </c>
      <c r="DV265" t="s">
        <v>17</v>
      </c>
      <c r="DW265" t="s">
        <v>17</v>
      </c>
      <c r="DX265">
        <v>100</v>
      </c>
      <c r="EE265">
        <v>34176748</v>
      </c>
      <c r="EF265">
        <v>1</v>
      </c>
      <c r="EG265" t="s">
        <v>19</v>
      </c>
      <c r="EH265">
        <v>0</v>
      </c>
      <c r="EI265" t="s">
        <v>3</v>
      </c>
      <c r="EJ265">
        <v>4</v>
      </c>
      <c r="EK265">
        <v>0</v>
      </c>
      <c r="EL265" t="s">
        <v>20</v>
      </c>
      <c r="EM265" t="s">
        <v>21</v>
      </c>
      <c r="EO265" t="s">
        <v>3</v>
      </c>
      <c r="EQ265">
        <v>0</v>
      </c>
      <c r="ER265">
        <v>288124.17</v>
      </c>
      <c r="ES265">
        <v>240984.87</v>
      </c>
      <c r="ET265">
        <v>43302.76</v>
      </c>
      <c r="EU265">
        <v>15894.37</v>
      </c>
      <c r="EV265">
        <v>3836.54</v>
      </c>
      <c r="EW265">
        <v>24.84</v>
      </c>
      <c r="EX265">
        <v>0</v>
      </c>
      <c r="EY265">
        <v>0</v>
      </c>
      <c r="FQ265">
        <v>0</v>
      </c>
      <c r="FR265">
        <f t="shared" si="193"/>
        <v>0</v>
      </c>
      <c r="FS265">
        <v>0</v>
      </c>
      <c r="FX265">
        <v>70</v>
      </c>
      <c r="FY265">
        <v>10</v>
      </c>
      <c r="GA265" t="s">
        <v>3</v>
      </c>
      <c r="GD265">
        <v>0</v>
      </c>
      <c r="GF265">
        <v>-2078164180</v>
      </c>
      <c r="GG265">
        <v>2</v>
      </c>
      <c r="GH265">
        <v>1</v>
      </c>
      <c r="GI265">
        <v>-2</v>
      </c>
      <c r="GJ265">
        <v>0</v>
      </c>
      <c r="GK265">
        <f>ROUND(R265*(R12)/100,2)</f>
        <v>1471.12</v>
      </c>
      <c r="GL265">
        <f t="shared" si="194"/>
        <v>0</v>
      </c>
      <c r="GM265">
        <f t="shared" si="201"/>
        <v>26426.39</v>
      </c>
      <c r="GN265">
        <f t="shared" si="202"/>
        <v>0</v>
      </c>
      <c r="GO265">
        <f t="shared" si="203"/>
        <v>0</v>
      </c>
      <c r="GP265">
        <f t="shared" si="204"/>
        <v>26426.39</v>
      </c>
      <c r="GR265">
        <v>0</v>
      </c>
      <c r="GS265">
        <v>3</v>
      </c>
      <c r="GT265">
        <v>0</v>
      </c>
      <c r="GU265" t="s">
        <v>3</v>
      </c>
      <c r="GV265">
        <f t="shared" si="195"/>
        <v>0</v>
      </c>
      <c r="GW265">
        <v>1</v>
      </c>
      <c r="GX265">
        <f t="shared" si="196"/>
        <v>0</v>
      </c>
      <c r="HA265">
        <v>0</v>
      </c>
      <c r="HB265">
        <v>0</v>
      </c>
      <c r="IK265">
        <v>0</v>
      </c>
    </row>
    <row r="266" spans="1:245" x14ac:dyDescent="0.2">
      <c r="A266">
        <v>17</v>
      </c>
      <c r="B266">
        <v>1</v>
      </c>
      <c r="C266">
        <f>ROW(SmtRes!A146)</f>
        <v>146</v>
      </c>
      <c r="D266">
        <f>ROW(EtalonRes!A146)</f>
        <v>146</v>
      </c>
      <c r="E266" t="s">
        <v>164</v>
      </c>
      <c r="F266" t="s">
        <v>50</v>
      </c>
      <c r="G266" t="s">
        <v>125</v>
      </c>
      <c r="H266" t="s">
        <v>52</v>
      </c>
      <c r="I266">
        <f>ROUND(85.7/100,9)</f>
        <v>0.85699999999999998</v>
      </c>
      <c r="J266">
        <v>0</v>
      </c>
      <c r="O266">
        <f t="shared" si="169"/>
        <v>27022.39</v>
      </c>
      <c r="P266">
        <f t="shared" si="170"/>
        <v>23752.22</v>
      </c>
      <c r="Q266">
        <f t="shared" si="171"/>
        <v>1058.82</v>
      </c>
      <c r="R266">
        <f t="shared" si="172"/>
        <v>613.38</v>
      </c>
      <c r="S266">
        <f t="shared" si="173"/>
        <v>2211.35</v>
      </c>
      <c r="T266">
        <f t="shared" si="174"/>
        <v>0</v>
      </c>
      <c r="U266">
        <f t="shared" si="175"/>
        <v>11.629490000000001</v>
      </c>
      <c r="V266">
        <f t="shared" si="176"/>
        <v>0</v>
      </c>
      <c r="W266">
        <f t="shared" si="177"/>
        <v>0</v>
      </c>
      <c r="X266">
        <f t="shared" si="178"/>
        <v>1547.95</v>
      </c>
      <c r="Y266">
        <f t="shared" si="179"/>
        <v>221.14</v>
      </c>
      <c r="AA266">
        <v>37598633</v>
      </c>
      <c r="AB266">
        <f t="shared" si="180"/>
        <v>31531.377499999999</v>
      </c>
      <c r="AC266">
        <f>ROUND((((ES266/4)*5)),6)</f>
        <v>27715.537499999999</v>
      </c>
      <c r="AD266">
        <f t="shared" si="197"/>
        <v>1235.5</v>
      </c>
      <c r="AE266">
        <f t="shared" si="198"/>
        <v>715.73</v>
      </c>
      <c r="AF266">
        <f t="shared" si="198"/>
        <v>2580.34</v>
      </c>
      <c r="AG266">
        <f t="shared" si="181"/>
        <v>0</v>
      </c>
      <c r="AH266">
        <f t="shared" si="199"/>
        <v>13.57</v>
      </c>
      <c r="AI266">
        <f t="shared" si="199"/>
        <v>0</v>
      </c>
      <c r="AJ266">
        <f t="shared" si="182"/>
        <v>0</v>
      </c>
      <c r="AK266">
        <v>25988.27</v>
      </c>
      <c r="AL266">
        <v>22172.43</v>
      </c>
      <c r="AM266">
        <v>1235.5</v>
      </c>
      <c r="AN266">
        <v>715.73</v>
      </c>
      <c r="AO266">
        <v>2580.34</v>
      </c>
      <c r="AP266">
        <v>0</v>
      </c>
      <c r="AQ266">
        <v>13.57</v>
      </c>
      <c r="AR266">
        <v>0</v>
      </c>
      <c r="AS266">
        <v>0</v>
      </c>
      <c r="AT266">
        <v>70</v>
      </c>
      <c r="AU266">
        <v>10</v>
      </c>
      <c r="AV266">
        <v>1</v>
      </c>
      <c r="AW266">
        <v>1</v>
      </c>
      <c r="AZ266">
        <v>1</v>
      </c>
      <c r="BA266">
        <v>1</v>
      </c>
      <c r="BB266">
        <v>1</v>
      </c>
      <c r="BC266">
        <v>1</v>
      </c>
      <c r="BD266" t="s">
        <v>3</v>
      </c>
      <c r="BE266" t="s">
        <v>3</v>
      </c>
      <c r="BF266" t="s">
        <v>3</v>
      </c>
      <c r="BG266" t="s">
        <v>3</v>
      </c>
      <c r="BH266">
        <v>0</v>
      </c>
      <c r="BI266">
        <v>4</v>
      </c>
      <c r="BJ266" t="s">
        <v>53</v>
      </c>
      <c r="BM266">
        <v>0</v>
      </c>
      <c r="BN266">
        <v>0</v>
      </c>
      <c r="BO266" t="s">
        <v>3</v>
      </c>
      <c r="BP266">
        <v>0</v>
      </c>
      <c r="BQ266">
        <v>1</v>
      </c>
      <c r="BR266">
        <v>0</v>
      </c>
      <c r="BS266">
        <v>1</v>
      </c>
      <c r="BT266">
        <v>1</v>
      </c>
      <c r="BU266">
        <v>1</v>
      </c>
      <c r="BV266">
        <v>1</v>
      </c>
      <c r="BW266">
        <v>1</v>
      </c>
      <c r="BX266">
        <v>1</v>
      </c>
      <c r="BY266" t="s">
        <v>3</v>
      </c>
      <c r="BZ266">
        <v>70</v>
      </c>
      <c r="CA266">
        <v>10</v>
      </c>
      <c r="CF266">
        <v>0</v>
      </c>
      <c r="CG266">
        <v>0</v>
      </c>
      <c r="CM266">
        <v>0</v>
      </c>
      <c r="CN266" t="s">
        <v>3</v>
      </c>
      <c r="CO266">
        <v>0</v>
      </c>
      <c r="CP266">
        <f t="shared" si="183"/>
        <v>27022.39</v>
      </c>
      <c r="CQ266">
        <f t="shared" si="184"/>
        <v>27715.537499999999</v>
      </c>
      <c r="CR266">
        <f t="shared" si="200"/>
        <v>1235.5</v>
      </c>
      <c r="CS266">
        <f t="shared" si="185"/>
        <v>715.73</v>
      </c>
      <c r="CT266">
        <f t="shared" si="186"/>
        <v>2580.34</v>
      </c>
      <c r="CU266">
        <f t="shared" si="187"/>
        <v>0</v>
      </c>
      <c r="CV266">
        <f t="shared" si="188"/>
        <v>13.57</v>
      </c>
      <c r="CW266">
        <f t="shared" si="189"/>
        <v>0</v>
      </c>
      <c r="CX266">
        <f t="shared" si="190"/>
        <v>0</v>
      </c>
      <c r="CY266">
        <f t="shared" si="191"/>
        <v>1547.9449999999999</v>
      </c>
      <c r="CZ266">
        <f t="shared" si="192"/>
        <v>221.13499999999999</v>
      </c>
      <c r="DC266" t="s">
        <v>3</v>
      </c>
      <c r="DD266" t="s">
        <v>54</v>
      </c>
      <c r="DE266" t="s">
        <v>3</v>
      </c>
      <c r="DF266" t="s">
        <v>3</v>
      </c>
      <c r="DG266" t="s">
        <v>3</v>
      </c>
      <c r="DH266" t="s">
        <v>3</v>
      </c>
      <c r="DI266" t="s">
        <v>3</v>
      </c>
      <c r="DJ266" t="s">
        <v>3</v>
      </c>
      <c r="DK266" t="s">
        <v>3</v>
      </c>
      <c r="DL266" t="s">
        <v>3</v>
      </c>
      <c r="DM266" t="s">
        <v>3</v>
      </c>
      <c r="DN266">
        <v>0</v>
      </c>
      <c r="DO266">
        <v>0</v>
      </c>
      <c r="DP266">
        <v>1</v>
      </c>
      <c r="DQ266">
        <v>1</v>
      </c>
      <c r="DU266">
        <v>1005</v>
      </c>
      <c r="DV266" t="s">
        <v>52</v>
      </c>
      <c r="DW266" t="s">
        <v>52</v>
      </c>
      <c r="DX266">
        <v>100</v>
      </c>
      <c r="EE266">
        <v>34176748</v>
      </c>
      <c r="EF266">
        <v>1</v>
      </c>
      <c r="EG266" t="s">
        <v>19</v>
      </c>
      <c r="EH266">
        <v>0</v>
      </c>
      <c r="EI266" t="s">
        <v>3</v>
      </c>
      <c r="EJ266">
        <v>4</v>
      </c>
      <c r="EK266">
        <v>0</v>
      </c>
      <c r="EL266" t="s">
        <v>20</v>
      </c>
      <c r="EM266" t="s">
        <v>21</v>
      </c>
      <c r="EO266" t="s">
        <v>3</v>
      </c>
      <c r="EQ266">
        <v>0</v>
      </c>
      <c r="ER266">
        <v>25988.27</v>
      </c>
      <c r="ES266">
        <v>22172.43</v>
      </c>
      <c r="ET266">
        <v>1235.5</v>
      </c>
      <c r="EU266">
        <v>715.73</v>
      </c>
      <c r="EV266">
        <v>2580.34</v>
      </c>
      <c r="EW266">
        <v>13.57</v>
      </c>
      <c r="EX266">
        <v>0</v>
      </c>
      <c r="EY266">
        <v>0</v>
      </c>
      <c r="FQ266">
        <v>0</v>
      </c>
      <c r="FR266">
        <f t="shared" si="193"/>
        <v>0</v>
      </c>
      <c r="FS266">
        <v>0</v>
      </c>
      <c r="FX266">
        <v>70</v>
      </c>
      <c r="FY266">
        <v>10</v>
      </c>
      <c r="GA266" t="s">
        <v>3</v>
      </c>
      <c r="GD266">
        <v>0</v>
      </c>
      <c r="GF266">
        <v>1972566933</v>
      </c>
      <c r="GG266">
        <v>2</v>
      </c>
      <c r="GH266">
        <v>1</v>
      </c>
      <c r="GI266">
        <v>-2</v>
      </c>
      <c r="GJ266">
        <v>0</v>
      </c>
      <c r="GK266">
        <f>ROUND(R266*(R12)/100,2)</f>
        <v>662.45</v>
      </c>
      <c r="GL266">
        <f t="shared" si="194"/>
        <v>0</v>
      </c>
      <c r="GM266">
        <f t="shared" si="201"/>
        <v>29453.93</v>
      </c>
      <c r="GN266">
        <f t="shared" si="202"/>
        <v>0</v>
      </c>
      <c r="GO266">
        <f t="shared" si="203"/>
        <v>0</v>
      </c>
      <c r="GP266">
        <f t="shared" si="204"/>
        <v>29453.93</v>
      </c>
      <c r="GR266">
        <v>0</v>
      </c>
      <c r="GS266">
        <v>3</v>
      </c>
      <c r="GT266">
        <v>0</v>
      </c>
      <c r="GU266" t="s">
        <v>3</v>
      </c>
      <c r="GV266">
        <f t="shared" si="195"/>
        <v>0</v>
      </c>
      <c r="GW266">
        <v>1</v>
      </c>
      <c r="GX266">
        <f t="shared" si="196"/>
        <v>0</v>
      </c>
      <c r="HA266">
        <v>0</v>
      </c>
      <c r="HB266">
        <v>0</v>
      </c>
      <c r="IK266">
        <v>0</v>
      </c>
    </row>
    <row r="267" spans="1:245" x14ac:dyDescent="0.2">
      <c r="A267">
        <v>17</v>
      </c>
      <c r="B267">
        <v>1</v>
      </c>
      <c r="C267">
        <f>ROW(SmtRes!A156)</f>
        <v>156</v>
      </c>
      <c r="D267">
        <f>ROW(EtalonRes!A156)</f>
        <v>156</v>
      </c>
      <c r="E267" t="s">
        <v>165</v>
      </c>
      <c r="F267" t="s">
        <v>166</v>
      </c>
      <c r="G267" t="s">
        <v>167</v>
      </c>
      <c r="H267" t="s">
        <v>52</v>
      </c>
      <c r="I267">
        <f>ROUND(I266,9)</f>
        <v>0.85699999999999998</v>
      </c>
      <c r="J267">
        <v>0</v>
      </c>
      <c r="O267">
        <f t="shared" si="169"/>
        <v>70010.78</v>
      </c>
      <c r="P267">
        <f t="shared" si="170"/>
        <v>65415.13</v>
      </c>
      <c r="Q267">
        <f t="shared" si="171"/>
        <v>1692.81</v>
      </c>
      <c r="R267">
        <f t="shared" si="172"/>
        <v>1291.43</v>
      </c>
      <c r="S267">
        <f t="shared" si="173"/>
        <v>2902.84</v>
      </c>
      <c r="T267">
        <f t="shared" si="174"/>
        <v>0</v>
      </c>
      <c r="U267">
        <f t="shared" si="175"/>
        <v>15.803080000000001</v>
      </c>
      <c r="V267">
        <f t="shared" si="176"/>
        <v>0</v>
      </c>
      <c r="W267">
        <f t="shared" si="177"/>
        <v>0</v>
      </c>
      <c r="X267">
        <f t="shared" si="178"/>
        <v>2031.99</v>
      </c>
      <c r="Y267">
        <f t="shared" si="179"/>
        <v>290.27999999999997</v>
      </c>
      <c r="AA267">
        <v>37598633</v>
      </c>
      <c r="AB267">
        <f t="shared" si="180"/>
        <v>81692.86</v>
      </c>
      <c r="AC267">
        <f>ROUND((ES267),6)</f>
        <v>76330.37</v>
      </c>
      <c r="AD267">
        <f t="shared" si="197"/>
        <v>1975.28</v>
      </c>
      <c r="AE267">
        <f t="shared" si="198"/>
        <v>1506.92</v>
      </c>
      <c r="AF267">
        <f t="shared" si="198"/>
        <v>3387.21</v>
      </c>
      <c r="AG267">
        <f t="shared" si="181"/>
        <v>0</v>
      </c>
      <c r="AH267">
        <f t="shared" si="199"/>
        <v>18.440000000000001</v>
      </c>
      <c r="AI267">
        <f t="shared" si="199"/>
        <v>0</v>
      </c>
      <c r="AJ267">
        <f t="shared" si="182"/>
        <v>0</v>
      </c>
      <c r="AK267">
        <v>81692.86</v>
      </c>
      <c r="AL267">
        <v>76330.37</v>
      </c>
      <c r="AM267">
        <v>1975.28</v>
      </c>
      <c r="AN267">
        <v>1506.92</v>
      </c>
      <c r="AO267">
        <v>3387.21</v>
      </c>
      <c r="AP267">
        <v>0</v>
      </c>
      <c r="AQ267">
        <v>18.440000000000001</v>
      </c>
      <c r="AR267">
        <v>0</v>
      </c>
      <c r="AS267">
        <v>0</v>
      </c>
      <c r="AT267">
        <v>70</v>
      </c>
      <c r="AU267">
        <v>10</v>
      </c>
      <c r="AV267">
        <v>1</v>
      </c>
      <c r="AW267">
        <v>1</v>
      </c>
      <c r="AZ267">
        <v>1</v>
      </c>
      <c r="BA267">
        <v>1</v>
      </c>
      <c r="BB267">
        <v>1</v>
      </c>
      <c r="BC267">
        <v>1</v>
      </c>
      <c r="BD267" t="s">
        <v>3</v>
      </c>
      <c r="BE267" t="s">
        <v>3</v>
      </c>
      <c r="BF267" t="s">
        <v>3</v>
      </c>
      <c r="BG267" t="s">
        <v>3</v>
      </c>
      <c r="BH267">
        <v>0</v>
      </c>
      <c r="BI267">
        <v>4</v>
      </c>
      <c r="BJ267" t="s">
        <v>168</v>
      </c>
      <c r="BM267">
        <v>0</v>
      </c>
      <c r="BN267">
        <v>0</v>
      </c>
      <c r="BO267" t="s">
        <v>3</v>
      </c>
      <c r="BP267">
        <v>0</v>
      </c>
      <c r="BQ267">
        <v>1</v>
      </c>
      <c r="BR267">
        <v>0</v>
      </c>
      <c r="BS267">
        <v>1</v>
      </c>
      <c r="BT267">
        <v>1</v>
      </c>
      <c r="BU267">
        <v>1</v>
      </c>
      <c r="BV267">
        <v>1</v>
      </c>
      <c r="BW267">
        <v>1</v>
      </c>
      <c r="BX267">
        <v>1</v>
      </c>
      <c r="BY267" t="s">
        <v>3</v>
      </c>
      <c r="BZ267">
        <v>70</v>
      </c>
      <c r="CA267">
        <v>10</v>
      </c>
      <c r="CF267">
        <v>0</v>
      </c>
      <c r="CG267">
        <v>0</v>
      </c>
      <c r="CM267">
        <v>0</v>
      </c>
      <c r="CN267" t="s">
        <v>3</v>
      </c>
      <c r="CO267">
        <v>0</v>
      </c>
      <c r="CP267">
        <f t="shared" si="183"/>
        <v>70010.78</v>
      </c>
      <c r="CQ267">
        <f t="shared" si="184"/>
        <v>76330.37</v>
      </c>
      <c r="CR267">
        <f t="shared" si="200"/>
        <v>1975.28</v>
      </c>
      <c r="CS267">
        <f t="shared" si="185"/>
        <v>1506.92</v>
      </c>
      <c r="CT267">
        <f t="shared" si="186"/>
        <v>3387.21</v>
      </c>
      <c r="CU267">
        <f t="shared" si="187"/>
        <v>0</v>
      </c>
      <c r="CV267">
        <f t="shared" si="188"/>
        <v>18.440000000000001</v>
      </c>
      <c r="CW267">
        <f t="shared" si="189"/>
        <v>0</v>
      </c>
      <c r="CX267">
        <f t="shared" si="190"/>
        <v>0</v>
      </c>
      <c r="CY267">
        <f t="shared" si="191"/>
        <v>2031.9880000000003</v>
      </c>
      <c r="CZ267">
        <f t="shared" si="192"/>
        <v>290.28399999999999</v>
      </c>
      <c r="DC267" t="s">
        <v>3</v>
      </c>
      <c r="DD267" t="s">
        <v>3</v>
      </c>
      <c r="DE267" t="s">
        <v>3</v>
      </c>
      <c r="DF267" t="s">
        <v>3</v>
      </c>
      <c r="DG267" t="s">
        <v>3</v>
      </c>
      <c r="DH267" t="s">
        <v>3</v>
      </c>
      <c r="DI267" t="s">
        <v>3</v>
      </c>
      <c r="DJ267" t="s">
        <v>3</v>
      </c>
      <c r="DK267" t="s">
        <v>3</v>
      </c>
      <c r="DL267" t="s">
        <v>3</v>
      </c>
      <c r="DM267" t="s">
        <v>3</v>
      </c>
      <c r="DN267">
        <v>0</v>
      </c>
      <c r="DO267">
        <v>0</v>
      </c>
      <c r="DP267">
        <v>1</v>
      </c>
      <c r="DQ267">
        <v>1</v>
      </c>
      <c r="DU267">
        <v>1005</v>
      </c>
      <c r="DV267" t="s">
        <v>52</v>
      </c>
      <c r="DW267" t="s">
        <v>52</v>
      </c>
      <c r="DX267">
        <v>100</v>
      </c>
      <c r="EE267">
        <v>34176748</v>
      </c>
      <c r="EF267">
        <v>1</v>
      </c>
      <c r="EG267" t="s">
        <v>19</v>
      </c>
      <c r="EH267">
        <v>0</v>
      </c>
      <c r="EI267" t="s">
        <v>3</v>
      </c>
      <c r="EJ267">
        <v>4</v>
      </c>
      <c r="EK267">
        <v>0</v>
      </c>
      <c r="EL267" t="s">
        <v>20</v>
      </c>
      <c r="EM267" t="s">
        <v>21</v>
      </c>
      <c r="EO267" t="s">
        <v>3</v>
      </c>
      <c r="EQ267">
        <v>0</v>
      </c>
      <c r="ER267">
        <v>81692.86</v>
      </c>
      <c r="ES267">
        <v>76330.37</v>
      </c>
      <c r="ET267">
        <v>1975.28</v>
      </c>
      <c r="EU267">
        <v>1506.92</v>
      </c>
      <c r="EV267">
        <v>3387.21</v>
      </c>
      <c r="EW267">
        <v>18.440000000000001</v>
      </c>
      <c r="EX267">
        <v>0</v>
      </c>
      <c r="EY267">
        <v>0</v>
      </c>
      <c r="FQ267">
        <v>0</v>
      </c>
      <c r="FR267">
        <f t="shared" si="193"/>
        <v>0</v>
      </c>
      <c r="FS267">
        <v>0</v>
      </c>
      <c r="FX267">
        <v>70</v>
      </c>
      <c r="FY267">
        <v>10</v>
      </c>
      <c r="GA267" t="s">
        <v>3</v>
      </c>
      <c r="GD267">
        <v>0</v>
      </c>
      <c r="GF267">
        <v>71085136</v>
      </c>
      <c r="GG267">
        <v>2</v>
      </c>
      <c r="GH267">
        <v>1</v>
      </c>
      <c r="GI267">
        <v>-2</v>
      </c>
      <c r="GJ267">
        <v>0</v>
      </c>
      <c r="GK267">
        <f>ROUND(R267*(R12)/100,2)</f>
        <v>1394.74</v>
      </c>
      <c r="GL267">
        <f t="shared" si="194"/>
        <v>0</v>
      </c>
      <c r="GM267">
        <f t="shared" si="201"/>
        <v>73727.789999999994</v>
      </c>
      <c r="GN267">
        <f t="shared" si="202"/>
        <v>0</v>
      </c>
      <c r="GO267">
        <f t="shared" si="203"/>
        <v>0</v>
      </c>
      <c r="GP267">
        <f t="shared" si="204"/>
        <v>73727.789999999994</v>
      </c>
      <c r="GR267">
        <v>0</v>
      </c>
      <c r="GS267">
        <v>3</v>
      </c>
      <c r="GT267">
        <v>0</v>
      </c>
      <c r="GU267" t="s">
        <v>3</v>
      </c>
      <c r="GV267">
        <f t="shared" si="195"/>
        <v>0</v>
      </c>
      <c r="GW267">
        <v>1</v>
      </c>
      <c r="GX267">
        <f t="shared" si="196"/>
        <v>0</v>
      </c>
      <c r="HA267">
        <v>0</v>
      </c>
      <c r="HB267">
        <v>0</v>
      </c>
      <c r="IK267">
        <v>0</v>
      </c>
    </row>
    <row r="268" spans="1:245" x14ac:dyDescent="0.2">
      <c r="A268">
        <v>17</v>
      </c>
      <c r="B268">
        <v>1</v>
      </c>
      <c r="C268">
        <f>ROW(SmtRes!A162)</f>
        <v>162</v>
      </c>
      <c r="D268">
        <f>ROW(EtalonRes!A162)</f>
        <v>162</v>
      </c>
      <c r="E268" t="s">
        <v>169</v>
      </c>
      <c r="F268" t="s">
        <v>170</v>
      </c>
      <c r="G268" t="s">
        <v>171</v>
      </c>
      <c r="H268" t="s">
        <v>52</v>
      </c>
      <c r="I268">
        <f>ROUND(I267,9)</f>
        <v>0.85699999999999998</v>
      </c>
      <c r="J268">
        <v>0</v>
      </c>
      <c r="O268">
        <f t="shared" si="169"/>
        <v>12819.04</v>
      </c>
      <c r="P268">
        <f t="shared" si="170"/>
        <v>12070.59</v>
      </c>
      <c r="Q268">
        <f t="shared" si="171"/>
        <v>318.67</v>
      </c>
      <c r="R268">
        <f t="shared" si="172"/>
        <v>243.84</v>
      </c>
      <c r="S268">
        <f t="shared" si="173"/>
        <v>429.78</v>
      </c>
      <c r="T268">
        <f t="shared" si="174"/>
        <v>0</v>
      </c>
      <c r="U268">
        <f t="shared" si="175"/>
        <v>2.2710499999999998</v>
      </c>
      <c r="V268">
        <f t="shared" si="176"/>
        <v>0</v>
      </c>
      <c r="W268">
        <f t="shared" si="177"/>
        <v>0</v>
      </c>
      <c r="X268">
        <f t="shared" si="178"/>
        <v>300.85000000000002</v>
      </c>
      <c r="Y268">
        <f t="shared" si="179"/>
        <v>42.98</v>
      </c>
      <c r="AA268">
        <v>37598633</v>
      </c>
      <c r="AB268">
        <f t="shared" si="180"/>
        <v>14958.03</v>
      </c>
      <c r="AC268">
        <f>ROUND((ES268),6)</f>
        <v>14084.7</v>
      </c>
      <c r="AD268">
        <f t="shared" si="197"/>
        <v>371.84</v>
      </c>
      <c r="AE268">
        <f t="shared" si="198"/>
        <v>284.52999999999997</v>
      </c>
      <c r="AF268">
        <f t="shared" si="198"/>
        <v>501.49</v>
      </c>
      <c r="AG268">
        <f t="shared" si="181"/>
        <v>0</v>
      </c>
      <c r="AH268">
        <f t="shared" si="199"/>
        <v>2.65</v>
      </c>
      <c r="AI268">
        <f t="shared" si="199"/>
        <v>0</v>
      </c>
      <c r="AJ268">
        <f t="shared" si="182"/>
        <v>0</v>
      </c>
      <c r="AK268">
        <v>14958.03</v>
      </c>
      <c r="AL268">
        <v>14084.7</v>
      </c>
      <c r="AM268">
        <v>371.84</v>
      </c>
      <c r="AN268">
        <v>284.52999999999997</v>
      </c>
      <c r="AO268">
        <v>501.49</v>
      </c>
      <c r="AP268">
        <v>0</v>
      </c>
      <c r="AQ268">
        <v>2.65</v>
      </c>
      <c r="AR268">
        <v>0</v>
      </c>
      <c r="AS268">
        <v>0</v>
      </c>
      <c r="AT268">
        <v>70</v>
      </c>
      <c r="AU268">
        <v>10</v>
      </c>
      <c r="AV268">
        <v>1</v>
      </c>
      <c r="AW268">
        <v>1</v>
      </c>
      <c r="AZ268">
        <v>1</v>
      </c>
      <c r="BA268">
        <v>1</v>
      </c>
      <c r="BB268">
        <v>1</v>
      </c>
      <c r="BC268">
        <v>1</v>
      </c>
      <c r="BD268" t="s">
        <v>3</v>
      </c>
      <c r="BE268" t="s">
        <v>3</v>
      </c>
      <c r="BF268" t="s">
        <v>3</v>
      </c>
      <c r="BG268" t="s">
        <v>3</v>
      </c>
      <c r="BH268">
        <v>0</v>
      </c>
      <c r="BI268">
        <v>4</v>
      </c>
      <c r="BJ268" t="s">
        <v>172</v>
      </c>
      <c r="BM268">
        <v>0</v>
      </c>
      <c r="BN268">
        <v>0</v>
      </c>
      <c r="BO268" t="s">
        <v>3</v>
      </c>
      <c r="BP268">
        <v>0</v>
      </c>
      <c r="BQ268">
        <v>1</v>
      </c>
      <c r="BR268">
        <v>0</v>
      </c>
      <c r="BS268">
        <v>1</v>
      </c>
      <c r="BT268">
        <v>1</v>
      </c>
      <c r="BU268">
        <v>1</v>
      </c>
      <c r="BV268">
        <v>1</v>
      </c>
      <c r="BW268">
        <v>1</v>
      </c>
      <c r="BX268">
        <v>1</v>
      </c>
      <c r="BY268" t="s">
        <v>3</v>
      </c>
      <c r="BZ268">
        <v>70</v>
      </c>
      <c r="CA268">
        <v>10</v>
      </c>
      <c r="CF268">
        <v>0</v>
      </c>
      <c r="CG268">
        <v>0</v>
      </c>
      <c r="CM268">
        <v>0</v>
      </c>
      <c r="CN268" t="s">
        <v>3</v>
      </c>
      <c r="CO268">
        <v>0</v>
      </c>
      <c r="CP268">
        <f t="shared" si="183"/>
        <v>12819.04</v>
      </c>
      <c r="CQ268">
        <f t="shared" si="184"/>
        <v>14084.7</v>
      </c>
      <c r="CR268">
        <f t="shared" si="200"/>
        <v>371.84</v>
      </c>
      <c r="CS268">
        <f t="shared" si="185"/>
        <v>284.52999999999997</v>
      </c>
      <c r="CT268">
        <f t="shared" si="186"/>
        <v>501.49</v>
      </c>
      <c r="CU268">
        <f t="shared" si="187"/>
        <v>0</v>
      </c>
      <c r="CV268">
        <f t="shared" si="188"/>
        <v>2.65</v>
      </c>
      <c r="CW268">
        <f t="shared" si="189"/>
        <v>0</v>
      </c>
      <c r="CX268">
        <f t="shared" si="190"/>
        <v>0</v>
      </c>
      <c r="CY268">
        <f t="shared" si="191"/>
        <v>300.846</v>
      </c>
      <c r="CZ268">
        <f t="shared" si="192"/>
        <v>42.977999999999994</v>
      </c>
      <c r="DC268" t="s">
        <v>3</v>
      </c>
      <c r="DD268" t="s">
        <v>3</v>
      </c>
      <c r="DE268" t="s">
        <v>3</v>
      </c>
      <c r="DF268" t="s">
        <v>3</v>
      </c>
      <c r="DG268" t="s">
        <v>3</v>
      </c>
      <c r="DH268" t="s">
        <v>3</v>
      </c>
      <c r="DI268" t="s">
        <v>3</v>
      </c>
      <c r="DJ268" t="s">
        <v>3</v>
      </c>
      <c r="DK268" t="s">
        <v>3</v>
      </c>
      <c r="DL268" t="s">
        <v>3</v>
      </c>
      <c r="DM268" t="s">
        <v>3</v>
      </c>
      <c r="DN268">
        <v>0</v>
      </c>
      <c r="DO268">
        <v>0</v>
      </c>
      <c r="DP268">
        <v>1</v>
      </c>
      <c r="DQ268">
        <v>1</v>
      </c>
      <c r="DU268">
        <v>1005</v>
      </c>
      <c r="DV268" t="s">
        <v>52</v>
      </c>
      <c r="DW268" t="s">
        <v>52</v>
      </c>
      <c r="DX268">
        <v>100</v>
      </c>
      <c r="EE268">
        <v>34176748</v>
      </c>
      <c r="EF268">
        <v>1</v>
      </c>
      <c r="EG268" t="s">
        <v>19</v>
      </c>
      <c r="EH268">
        <v>0</v>
      </c>
      <c r="EI268" t="s">
        <v>3</v>
      </c>
      <c r="EJ268">
        <v>4</v>
      </c>
      <c r="EK268">
        <v>0</v>
      </c>
      <c r="EL268" t="s">
        <v>20</v>
      </c>
      <c r="EM268" t="s">
        <v>21</v>
      </c>
      <c r="EO268" t="s">
        <v>3</v>
      </c>
      <c r="EQ268">
        <v>0</v>
      </c>
      <c r="ER268">
        <v>14958.03</v>
      </c>
      <c r="ES268">
        <v>14084.7</v>
      </c>
      <c r="ET268">
        <v>371.84</v>
      </c>
      <c r="EU268">
        <v>284.52999999999997</v>
      </c>
      <c r="EV268">
        <v>501.49</v>
      </c>
      <c r="EW268">
        <v>2.65</v>
      </c>
      <c r="EX268">
        <v>0</v>
      </c>
      <c r="EY268">
        <v>0</v>
      </c>
      <c r="FQ268">
        <v>0</v>
      </c>
      <c r="FR268">
        <f t="shared" si="193"/>
        <v>0</v>
      </c>
      <c r="FS268">
        <v>0</v>
      </c>
      <c r="FX268">
        <v>70</v>
      </c>
      <c r="FY268">
        <v>10</v>
      </c>
      <c r="GA268" t="s">
        <v>3</v>
      </c>
      <c r="GD268">
        <v>0</v>
      </c>
      <c r="GF268">
        <v>-1169134821</v>
      </c>
      <c r="GG268">
        <v>2</v>
      </c>
      <c r="GH268">
        <v>1</v>
      </c>
      <c r="GI268">
        <v>-2</v>
      </c>
      <c r="GJ268">
        <v>0</v>
      </c>
      <c r="GK268">
        <f>ROUND(R268*(R12)/100,2)</f>
        <v>263.35000000000002</v>
      </c>
      <c r="GL268">
        <f t="shared" si="194"/>
        <v>0</v>
      </c>
      <c r="GM268">
        <f t="shared" si="201"/>
        <v>13426.22</v>
      </c>
      <c r="GN268">
        <f t="shared" si="202"/>
        <v>0</v>
      </c>
      <c r="GO268">
        <f t="shared" si="203"/>
        <v>0</v>
      </c>
      <c r="GP268">
        <f t="shared" si="204"/>
        <v>13426.22</v>
      </c>
      <c r="GR268">
        <v>0</v>
      </c>
      <c r="GS268">
        <v>3</v>
      </c>
      <c r="GT268">
        <v>0</v>
      </c>
      <c r="GU268" t="s">
        <v>3</v>
      </c>
      <c r="GV268">
        <f t="shared" si="195"/>
        <v>0</v>
      </c>
      <c r="GW268">
        <v>1</v>
      </c>
      <c r="GX268">
        <f t="shared" si="196"/>
        <v>0</v>
      </c>
      <c r="HA268">
        <v>0</v>
      </c>
      <c r="HB268">
        <v>0</v>
      </c>
      <c r="IK268">
        <v>0</v>
      </c>
    </row>
    <row r="269" spans="1:245" x14ac:dyDescent="0.2">
      <c r="A269">
        <v>17</v>
      </c>
      <c r="B269">
        <v>1</v>
      </c>
      <c r="C269">
        <f>ROW(SmtRes!A165)</f>
        <v>165</v>
      </c>
      <c r="D269">
        <f>ROW(EtalonRes!A165)</f>
        <v>165</v>
      </c>
      <c r="E269" t="s">
        <v>173</v>
      </c>
      <c r="F269" t="s">
        <v>174</v>
      </c>
      <c r="G269" t="s">
        <v>175</v>
      </c>
      <c r="H269" t="s">
        <v>176</v>
      </c>
      <c r="I269">
        <v>20</v>
      </c>
      <c r="J269">
        <v>0</v>
      </c>
      <c r="O269">
        <f t="shared" si="169"/>
        <v>1451.2</v>
      </c>
      <c r="P269">
        <f t="shared" si="170"/>
        <v>891.8</v>
      </c>
      <c r="Q269">
        <f t="shared" si="171"/>
        <v>351.4</v>
      </c>
      <c r="R269">
        <f t="shared" si="172"/>
        <v>62.6</v>
      </c>
      <c r="S269">
        <f t="shared" si="173"/>
        <v>208</v>
      </c>
      <c r="T269">
        <f t="shared" si="174"/>
        <v>0</v>
      </c>
      <c r="U269">
        <f t="shared" si="175"/>
        <v>1.2</v>
      </c>
      <c r="V269">
        <f t="shared" si="176"/>
        <v>0</v>
      </c>
      <c r="W269">
        <f t="shared" si="177"/>
        <v>0</v>
      </c>
      <c r="X269">
        <f t="shared" si="178"/>
        <v>166.4</v>
      </c>
      <c r="Y269">
        <f t="shared" si="179"/>
        <v>20.8</v>
      </c>
      <c r="AA269">
        <v>37598633</v>
      </c>
      <c r="AB269">
        <f t="shared" si="180"/>
        <v>72.56</v>
      </c>
      <c r="AC269">
        <f>ROUND((ES269),6)</f>
        <v>44.59</v>
      </c>
      <c r="AD269">
        <f t="shared" si="197"/>
        <v>17.57</v>
      </c>
      <c r="AE269">
        <f t="shared" si="198"/>
        <v>3.13</v>
      </c>
      <c r="AF269">
        <f t="shared" si="198"/>
        <v>10.4</v>
      </c>
      <c r="AG269">
        <f t="shared" si="181"/>
        <v>0</v>
      </c>
      <c r="AH269">
        <f t="shared" si="199"/>
        <v>0.06</v>
      </c>
      <c r="AI269">
        <f t="shared" si="199"/>
        <v>0</v>
      </c>
      <c r="AJ269">
        <f t="shared" si="182"/>
        <v>0</v>
      </c>
      <c r="AK269">
        <v>72.56</v>
      </c>
      <c r="AL269">
        <v>44.59</v>
      </c>
      <c r="AM269">
        <v>17.57</v>
      </c>
      <c r="AN269">
        <v>3.13</v>
      </c>
      <c r="AO269">
        <v>10.4</v>
      </c>
      <c r="AP269">
        <v>0</v>
      </c>
      <c r="AQ269">
        <v>0.06</v>
      </c>
      <c r="AR269">
        <v>0</v>
      </c>
      <c r="AS269">
        <v>0</v>
      </c>
      <c r="AT269">
        <v>80</v>
      </c>
      <c r="AU269">
        <v>10</v>
      </c>
      <c r="AV269">
        <v>1</v>
      </c>
      <c r="AW269">
        <v>1</v>
      </c>
      <c r="AZ269">
        <v>1</v>
      </c>
      <c r="BA269">
        <v>1</v>
      </c>
      <c r="BB269">
        <v>1</v>
      </c>
      <c r="BC269">
        <v>1</v>
      </c>
      <c r="BD269" t="s">
        <v>3</v>
      </c>
      <c r="BE269" t="s">
        <v>3</v>
      </c>
      <c r="BF269" t="s">
        <v>3</v>
      </c>
      <c r="BG269" t="s">
        <v>3</v>
      </c>
      <c r="BH269">
        <v>0</v>
      </c>
      <c r="BI269">
        <v>4</v>
      </c>
      <c r="BJ269" t="s">
        <v>177</v>
      </c>
      <c r="BM269">
        <v>2</v>
      </c>
      <c r="BN269">
        <v>0</v>
      </c>
      <c r="BO269" t="s">
        <v>3</v>
      </c>
      <c r="BP269">
        <v>0</v>
      </c>
      <c r="BQ269">
        <v>1</v>
      </c>
      <c r="BR269">
        <v>0</v>
      </c>
      <c r="BS269">
        <v>1</v>
      </c>
      <c r="BT269">
        <v>1</v>
      </c>
      <c r="BU269">
        <v>1</v>
      </c>
      <c r="BV269">
        <v>1</v>
      </c>
      <c r="BW269">
        <v>1</v>
      </c>
      <c r="BX269">
        <v>1</v>
      </c>
      <c r="BY269" t="s">
        <v>3</v>
      </c>
      <c r="BZ269">
        <v>80</v>
      </c>
      <c r="CA269">
        <v>10</v>
      </c>
      <c r="CF269">
        <v>0</v>
      </c>
      <c r="CG269">
        <v>0</v>
      </c>
      <c r="CM269">
        <v>0</v>
      </c>
      <c r="CN269" t="s">
        <v>3</v>
      </c>
      <c r="CO269">
        <v>0</v>
      </c>
      <c r="CP269">
        <f t="shared" si="183"/>
        <v>1451.1999999999998</v>
      </c>
      <c r="CQ269">
        <f t="shared" si="184"/>
        <v>44.59</v>
      </c>
      <c r="CR269">
        <f t="shared" si="200"/>
        <v>17.57</v>
      </c>
      <c r="CS269">
        <f t="shared" si="185"/>
        <v>3.13</v>
      </c>
      <c r="CT269">
        <f t="shared" si="186"/>
        <v>10.4</v>
      </c>
      <c r="CU269">
        <f t="shared" si="187"/>
        <v>0</v>
      </c>
      <c r="CV269">
        <f t="shared" si="188"/>
        <v>0.06</v>
      </c>
      <c r="CW269">
        <f t="shared" si="189"/>
        <v>0</v>
      </c>
      <c r="CX269">
        <f t="shared" si="190"/>
        <v>0</v>
      </c>
      <c r="CY269">
        <f t="shared" si="191"/>
        <v>166.4</v>
      </c>
      <c r="CZ269">
        <f t="shared" si="192"/>
        <v>20.8</v>
      </c>
      <c r="DC269" t="s">
        <v>3</v>
      </c>
      <c r="DD269" t="s">
        <v>3</v>
      </c>
      <c r="DE269" t="s">
        <v>3</v>
      </c>
      <c r="DF269" t="s">
        <v>3</v>
      </c>
      <c r="DG269" t="s">
        <v>3</v>
      </c>
      <c r="DH269" t="s">
        <v>3</v>
      </c>
      <c r="DI269" t="s">
        <v>3</v>
      </c>
      <c r="DJ269" t="s">
        <v>3</v>
      </c>
      <c r="DK269" t="s">
        <v>3</v>
      </c>
      <c r="DL269" t="s">
        <v>3</v>
      </c>
      <c r="DM269" t="s">
        <v>3</v>
      </c>
      <c r="DN269">
        <v>0</v>
      </c>
      <c r="DO269">
        <v>0</v>
      </c>
      <c r="DP269">
        <v>1</v>
      </c>
      <c r="DQ269">
        <v>1</v>
      </c>
      <c r="DU269">
        <v>1005</v>
      </c>
      <c r="DV269" t="s">
        <v>176</v>
      </c>
      <c r="DW269" t="s">
        <v>176</v>
      </c>
      <c r="DX269">
        <v>1</v>
      </c>
      <c r="EE269">
        <v>34176751</v>
      </c>
      <c r="EF269">
        <v>1</v>
      </c>
      <c r="EG269" t="s">
        <v>19</v>
      </c>
      <c r="EH269">
        <v>0</v>
      </c>
      <c r="EI269" t="s">
        <v>3</v>
      </c>
      <c r="EJ269">
        <v>4</v>
      </c>
      <c r="EK269">
        <v>2</v>
      </c>
      <c r="EL269" t="s">
        <v>178</v>
      </c>
      <c r="EM269" t="s">
        <v>21</v>
      </c>
      <c r="EO269" t="s">
        <v>3</v>
      </c>
      <c r="EQ269">
        <v>0</v>
      </c>
      <c r="ER269">
        <v>72.56</v>
      </c>
      <c r="ES269">
        <v>44.59</v>
      </c>
      <c r="ET269">
        <v>17.57</v>
      </c>
      <c r="EU269">
        <v>3.13</v>
      </c>
      <c r="EV269">
        <v>10.4</v>
      </c>
      <c r="EW269">
        <v>0.06</v>
      </c>
      <c r="EX269">
        <v>0</v>
      </c>
      <c r="EY269">
        <v>0</v>
      </c>
      <c r="FQ269">
        <v>0</v>
      </c>
      <c r="FR269">
        <f t="shared" si="193"/>
        <v>0</v>
      </c>
      <c r="FS269">
        <v>0</v>
      </c>
      <c r="FX269">
        <v>80</v>
      </c>
      <c r="FY269">
        <v>10</v>
      </c>
      <c r="GA269" t="s">
        <v>3</v>
      </c>
      <c r="GD269">
        <v>0</v>
      </c>
      <c r="GF269">
        <v>-2140162865</v>
      </c>
      <c r="GG269">
        <v>2</v>
      </c>
      <c r="GH269">
        <v>1</v>
      </c>
      <c r="GI269">
        <v>-2</v>
      </c>
      <c r="GJ269">
        <v>0</v>
      </c>
      <c r="GK269">
        <f>ROUND(R269*(R12)/100,2)</f>
        <v>67.61</v>
      </c>
      <c r="GL269">
        <f t="shared" si="194"/>
        <v>0</v>
      </c>
      <c r="GM269">
        <f t="shared" si="201"/>
        <v>1706.01</v>
      </c>
      <c r="GN269">
        <f t="shared" si="202"/>
        <v>0</v>
      </c>
      <c r="GO269">
        <f t="shared" si="203"/>
        <v>0</v>
      </c>
      <c r="GP269">
        <f t="shared" si="204"/>
        <v>1706.01</v>
      </c>
      <c r="GR269">
        <v>0</v>
      </c>
      <c r="GS269">
        <v>3</v>
      </c>
      <c r="GT269">
        <v>0</v>
      </c>
      <c r="GU269" t="s">
        <v>3</v>
      </c>
      <c r="GV269">
        <f t="shared" si="195"/>
        <v>0</v>
      </c>
      <c r="GW269">
        <v>1</v>
      </c>
      <c r="GX269">
        <f t="shared" si="196"/>
        <v>0</v>
      </c>
      <c r="HA269">
        <v>0</v>
      </c>
      <c r="HB269">
        <v>0</v>
      </c>
      <c r="IK269">
        <v>0</v>
      </c>
    </row>
    <row r="271" spans="1:245" x14ac:dyDescent="0.2">
      <c r="A271" s="2">
        <v>51</v>
      </c>
      <c r="B271" s="2">
        <f>B257</f>
        <v>1</v>
      </c>
      <c r="C271" s="2">
        <f>A257</f>
        <v>4</v>
      </c>
      <c r="D271" s="2">
        <f>ROW(A257)</f>
        <v>257</v>
      </c>
      <c r="E271" s="2"/>
      <c r="F271" s="2" t="str">
        <f>IF(F257&lt;&gt;"",F257,"")</f>
        <v>Новый раздел</v>
      </c>
      <c r="G271" s="2" t="str">
        <f>IF(G257&lt;&gt;"",G257,"")</f>
        <v>Устройство площадки ПДД - 85,7м2</v>
      </c>
      <c r="H271" s="2">
        <v>0</v>
      </c>
      <c r="I271" s="2"/>
      <c r="J271" s="2"/>
      <c r="K271" s="2"/>
      <c r="L271" s="2"/>
      <c r="M271" s="2"/>
      <c r="N271" s="2"/>
      <c r="O271" s="2">
        <f t="shared" ref="O271:T271" si="205">ROUND(AB271,2)</f>
        <v>159990.66</v>
      </c>
      <c r="P271" s="2">
        <f t="shared" si="205"/>
        <v>128066.33</v>
      </c>
      <c r="Q271" s="2">
        <f t="shared" si="205"/>
        <v>25576.06</v>
      </c>
      <c r="R271" s="2">
        <f t="shared" si="205"/>
        <v>16534.310000000001</v>
      </c>
      <c r="S271" s="2">
        <f t="shared" si="205"/>
        <v>6348.27</v>
      </c>
      <c r="T271" s="2">
        <f t="shared" si="205"/>
        <v>0</v>
      </c>
      <c r="U271" s="2">
        <f>AH271</f>
        <v>34.775546000000006</v>
      </c>
      <c r="V271" s="2">
        <f>AI271</f>
        <v>0</v>
      </c>
      <c r="W271" s="2">
        <f>ROUND(AJ271,2)</f>
        <v>0</v>
      </c>
      <c r="X271" s="2">
        <f>ROUND(AK271,2)</f>
        <v>4464.59</v>
      </c>
      <c r="Y271" s="2">
        <f>ROUND(AL271,2)</f>
        <v>634.83000000000004</v>
      </c>
      <c r="Z271" s="2"/>
      <c r="AA271" s="2"/>
      <c r="AB271" s="2">
        <f>ROUND(SUMIF(AA261:AA269,"=37598633",O261:O269),2)</f>
        <v>159990.66</v>
      </c>
      <c r="AC271" s="2">
        <f>ROUND(SUMIF(AA261:AA269,"=37598633",P261:P269),2)</f>
        <v>128066.33</v>
      </c>
      <c r="AD271" s="2">
        <f>ROUND(SUMIF(AA261:AA269,"=37598633",Q261:Q269),2)</f>
        <v>25576.06</v>
      </c>
      <c r="AE271" s="2">
        <f>ROUND(SUMIF(AA261:AA269,"=37598633",R261:R269),2)</f>
        <v>16534.310000000001</v>
      </c>
      <c r="AF271" s="2">
        <f>ROUND(SUMIF(AA261:AA269,"=37598633",S261:S269),2)</f>
        <v>6348.27</v>
      </c>
      <c r="AG271" s="2">
        <f>ROUND(SUMIF(AA261:AA269,"=37598633",T261:T269),2)</f>
        <v>0</v>
      </c>
      <c r="AH271" s="2">
        <f>SUMIF(AA261:AA269,"=37598633",U261:U269)</f>
        <v>34.775546000000006</v>
      </c>
      <c r="AI271" s="2">
        <f>SUMIF(AA261:AA269,"=37598633",V261:V269)</f>
        <v>0</v>
      </c>
      <c r="AJ271" s="2">
        <f>ROUND(SUMIF(AA261:AA269,"=37598633",W261:W269),2)</f>
        <v>0</v>
      </c>
      <c r="AK271" s="2">
        <f>ROUND(SUMIF(AA261:AA269,"=37598633",X261:X269),2)</f>
        <v>4464.59</v>
      </c>
      <c r="AL271" s="2">
        <f>ROUND(SUMIF(AA261:AA269,"=37598633",Y261:Y269),2)</f>
        <v>634.83000000000004</v>
      </c>
      <c r="AM271" s="2"/>
      <c r="AN271" s="2"/>
      <c r="AO271" s="2">
        <f t="shared" ref="AO271:BC271" si="206">ROUND(BX271,2)</f>
        <v>0</v>
      </c>
      <c r="AP271" s="2">
        <f t="shared" si="206"/>
        <v>0</v>
      </c>
      <c r="AQ271" s="2">
        <f t="shared" si="206"/>
        <v>0</v>
      </c>
      <c r="AR271" s="2">
        <f t="shared" si="206"/>
        <v>169866.97</v>
      </c>
      <c r="AS271" s="2">
        <f t="shared" si="206"/>
        <v>0</v>
      </c>
      <c r="AT271" s="2">
        <f t="shared" si="206"/>
        <v>0</v>
      </c>
      <c r="AU271" s="2">
        <f t="shared" si="206"/>
        <v>169866.97</v>
      </c>
      <c r="AV271" s="2">
        <f t="shared" si="206"/>
        <v>128066.33</v>
      </c>
      <c r="AW271" s="2">
        <f t="shared" si="206"/>
        <v>128066.33</v>
      </c>
      <c r="AX271" s="2">
        <f t="shared" si="206"/>
        <v>0</v>
      </c>
      <c r="AY271" s="2">
        <f t="shared" si="206"/>
        <v>128066.33</v>
      </c>
      <c r="AZ271" s="2">
        <f t="shared" si="206"/>
        <v>0</v>
      </c>
      <c r="BA271" s="2">
        <f t="shared" si="206"/>
        <v>0</v>
      </c>
      <c r="BB271" s="2">
        <f t="shared" si="206"/>
        <v>0</v>
      </c>
      <c r="BC271" s="2">
        <f t="shared" si="206"/>
        <v>0</v>
      </c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>
        <f>ROUND(SUMIF(AA261:AA269,"=37598633",FQ261:FQ269),2)</f>
        <v>0</v>
      </c>
      <c r="BY271" s="2">
        <f>ROUND(SUMIF(AA261:AA269,"=37598633",FR261:FR269),2)</f>
        <v>0</v>
      </c>
      <c r="BZ271" s="2">
        <f>ROUND(SUMIF(AA261:AA269,"=37598633",GL261:GL269),2)</f>
        <v>0</v>
      </c>
      <c r="CA271" s="2">
        <f>ROUND(SUMIF(AA261:AA269,"=37598633",GM261:GM269),2)</f>
        <v>169866.97</v>
      </c>
      <c r="CB271" s="2">
        <f>ROUND(SUMIF(AA261:AA269,"=37598633",GN261:GN269),2)</f>
        <v>0</v>
      </c>
      <c r="CC271" s="2">
        <f>ROUND(SUMIF(AA261:AA269,"=37598633",GO261:GO269),2)</f>
        <v>0</v>
      </c>
      <c r="CD271" s="2">
        <f>ROUND(SUMIF(AA261:AA269,"=37598633",GP261:GP269),2)</f>
        <v>169866.97</v>
      </c>
      <c r="CE271" s="2">
        <f>AC271-BX271</f>
        <v>128066.33</v>
      </c>
      <c r="CF271" s="2">
        <f>AC271-BY271</f>
        <v>128066.33</v>
      </c>
      <c r="CG271" s="2">
        <f>BX271-BZ271</f>
        <v>0</v>
      </c>
      <c r="CH271" s="2">
        <f>AC271-BX271-BY271+BZ271</f>
        <v>128066.33</v>
      </c>
      <c r="CI271" s="2">
        <f>BY271-BZ271</f>
        <v>0</v>
      </c>
      <c r="CJ271" s="2">
        <f>ROUND(SUMIF(AA261:AA269,"=37598633",GX261:GX269),2)</f>
        <v>0</v>
      </c>
      <c r="CK271" s="2">
        <f>ROUND(SUMIF(AA261:AA269,"=37598633",GY261:GY269),2)</f>
        <v>0</v>
      </c>
      <c r="CL271" s="2">
        <f>ROUND(SUMIF(AA261:AA269,"=37598633",GZ261:GZ269),2)</f>
        <v>0</v>
      </c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>
        <v>0</v>
      </c>
    </row>
    <row r="273" spans="1:23" x14ac:dyDescent="0.2">
      <c r="A273" s="4">
        <v>50</v>
      </c>
      <c r="B273" s="4">
        <v>0</v>
      </c>
      <c r="C273" s="4">
        <v>0</v>
      </c>
      <c r="D273" s="4">
        <v>1</v>
      </c>
      <c r="E273" s="4">
        <v>201</v>
      </c>
      <c r="F273" s="4">
        <f>ROUND(Source!O271,O273)</f>
        <v>159990.66</v>
      </c>
      <c r="G273" s="4" t="s">
        <v>55</v>
      </c>
      <c r="H273" s="4" t="s">
        <v>56</v>
      </c>
      <c r="I273" s="4"/>
      <c r="J273" s="4"/>
      <c r="K273" s="4">
        <v>-201</v>
      </c>
      <c r="L273" s="4">
        <v>1</v>
      </c>
      <c r="M273" s="4">
        <v>3</v>
      </c>
      <c r="N273" s="4" t="s">
        <v>3</v>
      </c>
      <c r="O273" s="4">
        <v>2</v>
      </c>
      <c r="P273" s="4"/>
      <c r="Q273" s="4"/>
      <c r="R273" s="4"/>
      <c r="S273" s="4"/>
      <c r="T273" s="4"/>
      <c r="U273" s="4"/>
      <c r="V273" s="4"/>
      <c r="W273" s="4"/>
    </row>
    <row r="274" spans="1:23" x14ac:dyDescent="0.2">
      <c r="A274" s="4">
        <v>50</v>
      </c>
      <c r="B274" s="4">
        <v>0</v>
      </c>
      <c r="C274" s="4">
        <v>0</v>
      </c>
      <c r="D274" s="4">
        <v>1</v>
      </c>
      <c r="E274" s="4">
        <v>202</v>
      </c>
      <c r="F274" s="4">
        <f>ROUND(Source!P271,O274)</f>
        <v>128066.33</v>
      </c>
      <c r="G274" s="4" t="s">
        <v>57</v>
      </c>
      <c r="H274" s="4" t="s">
        <v>58</v>
      </c>
      <c r="I274" s="4"/>
      <c r="J274" s="4"/>
      <c r="K274" s="4">
        <v>-202</v>
      </c>
      <c r="L274" s="4">
        <v>2</v>
      </c>
      <c r="M274" s="4">
        <v>3</v>
      </c>
      <c r="N274" s="4" t="s">
        <v>3</v>
      </c>
      <c r="O274" s="4">
        <v>2</v>
      </c>
      <c r="P274" s="4"/>
      <c r="Q274" s="4"/>
      <c r="R274" s="4"/>
      <c r="S274" s="4"/>
      <c r="T274" s="4"/>
      <c r="U274" s="4"/>
      <c r="V274" s="4"/>
      <c r="W274" s="4"/>
    </row>
    <row r="275" spans="1:23" x14ac:dyDescent="0.2">
      <c r="A275" s="4">
        <v>50</v>
      </c>
      <c r="B275" s="4">
        <v>0</v>
      </c>
      <c r="C275" s="4">
        <v>0</v>
      </c>
      <c r="D275" s="4">
        <v>1</v>
      </c>
      <c r="E275" s="4">
        <v>222</v>
      </c>
      <c r="F275" s="4">
        <f>ROUND(Source!AO271,O275)</f>
        <v>0</v>
      </c>
      <c r="G275" s="4" t="s">
        <v>59</v>
      </c>
      <c r="H275" s="4" t="s">
        <v>60</v>
      </c>
      <c r="I275" s="4"/>
      <c r="J275" s="4"/>
      <c r="K275" s="4">
        <v>-222</v>
      </c>
      <c r="L275" s="4">
        <v>3</v>
      </c>
      <c r="M275" s="4">
        <v>3</v>
      </c>
      <c r="N275" s="4" t="s">
        <v>3</v>
      </c>
      <c r="O275" s="4">
        <v>2</v>
      </c>
      <c r="P275" s="4"/>
      <c r="Q275" s="4"/>
      <c r="R275" s="4"/>
      <c r="S275" s="4"/>
      <c r="T275" s="4"/>
      <c r="U275" s="4"/>
      <c r="V275" s="4"/>
      <c r="W275" s="4"/>
    </row>
    <row r="276" spans="1:23" x14ac:dyDescent="0.2">
      <c r="A276" s="4">
        <v>50</v>
      </c>
      <c r="B276" s="4">
        <v>0</v>
      </c>
      <c r="C276" s="4">
        <v>0</v>
      </c>
      <c r="D276" s="4">
        <v>1</v>
      </c>
      <c r="E276" s="4">
        <v>225</v>
      </c>
      <c r="F276" s="4">
        <f>ROUND(Source!AV271,O276)</f>
        <v>128066.33</v>
      </c>
      <c r="G276" s="4" t="s">
        <v>61</v>
      </c>
      <c r="H276" s="4" t="s">
        <v>62</v>
      </c>
      <c r="I276" s="4"/>
      <c r="J276" s="4"/>
      <c r="K276" s="4">
        <v>-225</v>
      </c>
      <c r="L276" s="4">
        <v>4</v>
      </c>
      <c r="M276" s="4">
        <v>3</v>
      </c>
      <c r="N276" s="4" t="s">
        <v>3</v>
      </c>
      <c r="O276" s="4">
        <v>2</v>
      </c>
      <c r="P276" s="4"/>
      <c r="Q276" s="4"/>
      <c r="R276" s="4"/>
      <c r="S276" s="4"/>
      <c r="T276" s="4"/>
      <c r="U276" s="4"/>
      <c r="V276" s="4"/>
      <c r="W276" s="4"/>
    </row>
    <row r="277" spans="1:23" x14ac:dyDescent="0.2">
      <c r="A277" s="4">
        <v>50</v>
      </c>
      <c r="B277" s="4">
        <v>0</v>
      </c>
      <c r="C277" s="4">
        <v>0</v>
      </c>
      <c r="D277" s="4">
        <v>1</v>
      </c>
      <c r="E277" s="4">
        <v>226</v>
      </c>
      <c r="F277" s="4">
        <f>ROUND(Source!AW271,O277)</f>
        <v>128066.33</v>
      </c>
      <c r="G277" s="4" t="s">
        <v>63</v>
      </c>
      <c r="H277" s="4" t="s">
        <v>64</v>
      </c>
      <c r="I277" s="4"/>
      <c r="J277" s="4"/>
      <c r="K277" s="4">
        <v>-226</v>
      </c>
      <c r="L277" s="4">
        <v>5</v>
      </c>
      <c r="M277" s="4">
        <v>3</v>
      </c>
      <c r="N277" s="4" t="s">
        <v>3</v>
      </c>
      <c r="O277" s="4">
        <v>2</v>
      </c>
      <c r="P277" s="4"/>
      <c r="Q277" s="4"/>
      <c r="R277" s="4"/>
      <c r="S277" s="4"/>
      <c r="T277" s="4"/>
      <c r="U277" s="4"/>
      <c r="V277" s="4"/>
      <c r="W277" s="4"/>
    </row>
    <row r="278" spans="1:23" x14ac:dyDescent="0.2">
      <c r="A278" s="4">
        <v>50</v>
      </c>
      <c r="B278" s="4">
        <v>0</v>
      </c>
      <c r="C278" s="4">
        <v>0</v>
      </c>
      <c r="D278" s="4">
        <v>1</v>
      </c>
      <c r="E278" s="4">
        <v>227</v>
      </c>
      <c r="F278" s="4">
        <f>ROUND(Source!AX271,O278)</f>
        <v>0</v>
      </c>
      <c r="G278" s="4" t="s">
        <v>65</v>
      </c>
      <c r="H278" s="4" t="s">
        <v>66</v>
      </c>
      <c r="I278" s="4"/>
      <c r="J278" s="4"/>
      <c r="K278" s="4">
        <v>-227</v>
      </c>
      <c r="L278" s="4">
        <v>6</v>
      </c>
      <c r="M278" s="4">
        <v>3</v>
      </c>
      <c r="N278" s="4" t="s">
        <v>3</v>
      </c>
      <c r="O278" s="4">
        <v>2</v>
      </c>
      <c r="P278" s="4"/>
      <c r="Q278" s="4"/>
      <c r="R278" s="4"/>
      <c r="S278" s="4"/>
      <c r="T278" s="4"/>
      <c r="U278" s="4"/>
      <c r="V278" s="4"/>
      <c r="W278" s="4"/>
    </row>
    <row r="279" spans="1:23" x14ac:dyDescent="0.2">
      <c r="A279" s="4">
        <v>50</v>
      </c>
      <c r="B279" s="4">
        <v>0</v>
      </c>
      <c r="C279" s="4">
        <v>0</v>
      </c>
      <c r="D279" s="4">
        <v>1</v>
      </c>
      <c r="E279" s="4">
        <v>228</v>
      </c>
      <c r="F279" s="4">
        <f>ROUND(Source!AY271,O279)</f>
        <v>128066.33</v>
      </c>
      <c r="G279" s="4" t="s">
        <v>67</v>
      </c>
      <c r="H279" s="4" t="s">
        <v>68</v>
      </c>
      <c r="I279" s="4"/>
      <c r="J279" s="4"/>
      <c r="K279" s="4">
        <v>-228</v>
      </c>
      <c r="L279" s="4">
        <v>7</v>
      </c>
      <c r="M279" s="4">
        <v>3</v>
      </c>
      <c r="N279" s="4" t="s">
        <v>3</v>
      </c>
      <c r="O279" s="4">
        <v>2</v>
      </c>
      <c r="P279" s="4"/>
      <c r="Q279" s="4"/>
      <c r="R279" s="4"/>
      <c r="S279" s="4"/>
      <c r="T279" s="4"/>
      <c r="U279" s="4"/>
      <c r="V279" s="4"/>
      <c r="W279" s="4"/>
    </row>
    <row r="280" spans="1:23" x14ac:dyDescent="0.2">
      <c r="A280" s="4">
        <v>50</v>
      </c>
      <c r="B280" s="4">
        <v>0</v>
      </c>
      <c r="C280" s="4">
        <v>0</v>
      </c>
      <c r="D280" s="4">
        <v>1</v>
      </c>
      <c r="E280" s="4">
        <v>216</v>
      </c>
      <c r="F280" s="4">
        <f>ROUND(Source!AP271,O280)</f>
        <v>0</v>
      </c>
      <c r="G280" s="4" t="s">
        <v>69</v>
      </c>
      <c r="H280" s="4" t="s">
        <v>70</v>
      </c>
      <c r="I280" s="4"/>
      <c r="J280" s="4"/>
      <c r="K280" s="4">
        <v>-216</v>
      </c>
      <c r="L280" s="4">
        <v>8</v>
      </c>
      <c r="M280" s="4">
        <v>3</v>
      </c>
      <c r="N280" s="4" t="s">
        <v>3</v>
      </c>
      <c r="O280" s="4">
        <v>2</v>
      </c>
      <c r="P280" s="4"/>
      <c r="Q280" s="4"/>
      <c r="R280" s="4"/>
      <c r="S280" s="4"/>
      <c r="T280" s="4"/>
      <c r="U280" s="4"/>
      <c r="V280" s="4"/>
      <c r="W280" s="4"/>
    </row>
    <row r="281" spans="1:23" x14ac:dyDescent="0.2">
      <c r="A281" s="4">
        <v>50</v>
      </c>
      <c r="B281" s="4">
        <v>0</v>
      </c>
      <c r="C281" s="4">
        <v>0</v>
      </c>
      <c r="D281" s="4">
        <v>1</v>
      </c>
      <c r="E281" s="4">
        <v>223</v>
      </c>
      <c r="F281" s="4">
        <f>ROUND(Source!AQ271,O281)</f>
        <v>0</v>
      </c>
      <c r="G281" s="4" t="s">
        <v>71</v>
      </c>
      <c r="H281" s="4" t="s">
        <v>72</v>
      </c>
      <c r="I281" s="4"/>
      <c r="J281" s="4"/>
      <c r="K281" s="4">
        <v>-223</v>
      </c>
      <c r="L281" s="4">
        <v>9</v>
      </c>
      <c r="M281" s="4">
        <v>3</v>
      </c>
      <c r="N281" s="4" t="s">
        <v>3</v>
      </c>
      <c r="O281" s="4">
        <v>2</v>
      </c>
      <c r="P281" s="4"/>
      <c r="Q281" s="4"/>
      <c r="R281" s="4"/>
      <c r="S281" s="4"/>
      <c r="T281" s="4"/>
      <c r="U281" s="4"/>
      <c r="V281" s="4"/>
      <c r="W281" s="4"/>
    </row>
    <row r="282" spans="1:23" x14ac:dyDescent="0.2">
      <c r="A282" s="4">
        <v>50</v>
      </c>
      <c r="B282" s="4">
        <v>0</v>
      </c>
      <c r="C282" s="4">
        <v>0</v>
      </c>
      <c r="D282" s="4">
        <v>1</v>
      </c>
      <c r="E282" s="4">
        <v>229</v>
      </c>
      <c r="F282" s="4">
        <f>ROUND(Source!AZ271,O282)</f>
        <v>0</v>
      </c>
      <c r="G282" s="4" t="s">
        <v>73</v>
      </c>
      <c r="H282" s="4" t="s">
        <v>74</v>
      </c>
      <c r="I282" s="4"/>
      <c r="J282" s="4"/>
      <c r="K282" s="4">
        <v>-229</v>
      </c>
      <c r="L282" s="4">
        <v>10</v>
      </c>
      <c r="M282" s="4">
        <v>3</v>
      </c>
      <c r="N282" s="4" t="s">
        <v>3</v>
      </c>
      <c r="O282" s="4">
        <v>2</v>
      </c>
      <c r="P282" s="4"/>
      <c r="Q282" s="4"/>
      <c r="R282" s="4"/>
      <c r="S282" s="4"/>
      <c r="T282" s="4"/>
      <c r="U282" s="4"/>
      <c r="V282" s="4"/>
      <c r="W282" s="4"/>
    </row>
    <row r="283" spans="1:23" x14ac:dyDescent="0.2">
      <c r="A283" s="4">
        <v>50</v>
      </c>
      <c r="B283" s="4">
        <v>0</v>
      </c>
      <c r="C283" s="4">
        <v>0</v>
      </c>
      <c r="D283" s="4">
        <v>1</v>
      </c>
      <c r="E283" s="4">
        <v>203</v>
      </c>
      <c r="F283" s="4">
        <f>ROUND(Source!Q271,O283)</f>
        <v>25576.06</v>
      </c>
      <c r="G283" s="4" t="s">
        <v>75</v>
      </c>
      <c r="H283" s="4" t="s">
        <v>76</v>
      </c>
      <c r="I283" s="4"/>
      <c r="J283" s="4"/>
      <c r="K283" s="4">
        <v>-203</v>
      </c>
      <c r="L283" s="4">
        <v>11</v>
      </c>
      <c r="M283" s="4">
        <v>3</v>
      </c>
      <c r="N283" s="4" t="s">
        <v>3</v>
      </c>
      <c r="O283" s="4">
        <v>2</v>
      </c>
      <c r="P283" s="4"/>
      <c r="Q283" s="4"/>
      <c r="R283" s="4"/>
      <c r="S283" s="4"/>
      <c r="T283" s="4"/>
      <c r="U283" s="4"/>
      <c r="V283" s="4"/>
      <c r="W283" s="4"/>
    </row>
    <row r="284" spans="1:23" x14ac:dyDescent="0.2">
      <c r="A284" s="4">
        <v>50</v>
      </c>
      <c r="B284" s="4">
        <v>0</v>
      </c>
      <c r="C284" s="4">
        <v>0</v>
      </c>
      <c r="D284" s="4">
        <v>1</v>
      </c>
      <c r="E284" s="4">
        <v>231</v>
      </c>
      <c r="F284" s="4">
        <f>ROUND(Source!BB271,O284)</f>
        <v>0</v>
      </c>
      <c r="G284" s="4" t="s">
        <v>77</v>
      </c>
      <c r="H284" s="4" t="s">
        <v>78</v>
      </c>
      <c r="I284" s="4"/>
      <c r="J284" s="4"/>
      <c r="K284" s="4">
        <v>-231</v>
      </c>
      <c r="L284" s="4">
        <v>12</v>
      </c>
      <c r="M284" s="4">
        <v>3</v>
      </c>
      <c r="N284" s="4" t="s">
        <v>3</v>
      </c>
      <c r="O284" s="4">
        <v>2</v>
      </c>
      <c r="P284" s="4"/>
      <c r="Q284" s="4"/>
      <c r="R284" s="4"/>
      <c r="S284" s="4"/>
      <c r="T284" s="4"/>
      <c r="U284" s="4"/>
      <c r="V284" s="4"/>
      <c r="W284" s="4"/>
    </row>
    <row r="285" spans="1:23" x14ac:dyDescent="0.2">
      <c r="A285" s="4">
        <v>50</v>
      </c>
      <c r="B285" s="4">
        <v>0</v>
      </c>
      <c r="C285" s="4">
        <v>0</v>
      </c>
      <c r="D285" s="4">
        <v>1</v>
      </c>
      <c r="E285" s="4">
        <v>204</v>
      </c>
      <c r="F285" s="4">
        <f>ROUND(Source!R271,O285)</f>
        <v>16534.310000000001</v>
      </c>
      <c r="G285" s="4" t="s">
        <v>79</v>
      </c>
      <c r="H285" s="4" t="s">
        <v>80</v>
      </c>
      <c r="I285" s="4"/>
      <c r="J285" s="4"/>
      <c r="K285" s="4">
        <v>-204</v>
      </c>
      <c r="L285" s="4">
        <v>13</v>
      </c>
      <c r="M285" s="4">
        <v>3</v>
      </c>
      <c r="N285" s="4" t="s">
        <v>3</v>
      </c>
      <c r="O285" s="4">
        <v>2</v>
      </c>
      <c r="P285" s="4"/>
      <c r="Q285" s="4"/>
      <c r="R285" s="4"/>
      <c r="S285" s="4"/>
      <c r="T285" s="4"/>
      <c r="U285" s="4"/>
      <c r="V285" s="4"/>
      <c r="W285" s="4"/>
    </row>
    <row r="286" spans="1:23" x14ac:dyDescent="0.2">
      <c r="A286" s="4">
        <v>50</v>
      </c>
      <c r="B286" s="4">
        <v>0</v>
      </c>
      <c r="C286" s="4">
        <v>0</v>
      </c>
      <c r="D286" s="4">
        <v>1</v>
      </c>
      <c r="E286" s="4">
        <v>205</v>
      </c>
      <c r="F286" s="4">
        <f>ROUND(Source!S271,O286)</f>
        <v>6348.27</v>
      </c>
      <c r="G286" s="4" t="s">
        <v>81</v>
      </c>
      <c r="H286" s="4" t="s">
        <v>82</v>
      </c>
      <c r="I286" s="4"/>
      <c r="J286" s="4"/>
      <c r="K286" s="4">
        <v>-205</v>
      </c>
      <c r="L286" s="4">
        <v>14</v>
      </c>
      <c r="M286" s="4">
        <v>3</v>
      </c>
      <c r="N286" s="4" t="s">
        <v>3</v>
      </c>
      <c r="O286" s="4">
        <v>2</v>
      </c>
      <c r="P286" s="4"/>
      <c r="Q286" s="4"/>
      <c r="R286" s="4"/>
      <c r="S286" s="4"/>
      <c r="T286" s="4"/>
      <c r="U286" s="4"/>
      <c r="V286" s="4"/>
      <c r="W286" s="4"/>
    </row>
    <row r="287" spans="1:23" x14ac:dyDescent="0.2">
      <c r="A287" s="4">
        <v>50</v>
      </c>
      <c r="B287" s="4">
        <v>0</v>
      </c>
      <c r="C287" s="4">
        <v>0</v>
      </c>
      <c r="D287" s="4">
        <v>1</v>
      </c>
      <c r="E287" s="4">
        <v>232</v>
      </c>
      <c r="F287" s="4">
        <f>ROUND(Source!BC271,O287)</f>
        <v>0</v>
      </c>
      <c r="G287" s="4" t="s">
        <v>83</v>
      </c>
      <c r="H287" s="4" t="s">
        <v>84</v>
      </c>
      <c r="I287" s="4"/>
      <c r="J287" s="4"/>
      <c r="K287" s="4">
        <v>-232</v>
      </c>
      <c r="L287" s="4">
        <v>15</v>
      </c>
      <c r="M287" s="4">
        <v>3</v>
      </c>
      <c r="N287" s="4" t="s">
        <v>3</v>
      </c>
      <c r="O287" s="4">
        <v>2</v>
      </c>
      <c r="P287" s="4"/>
      <c r="Q287" s="4"/>
      <c r="R287" s="4"/>
      <c r="S287" s="4"/>
      <c r="T287" s="4"/>
      <c r="U287" s="4"/>
      <c r="V287" s="4"/>
      <c r="W287" s="4"/>
    </row>
    <row r="288" spans="1:23" x14ac:dyDescent="0.2">
      <c r="A288" s="4">
        <v>50</v>
      </c>
      <c r="B288" s="4">
        <v>0</v>
      </c>
      <c r="C288" s="4">
        <v>0</v>
      </c>
      <c r="D288" s="4">
        <v>1</v>
      </c>
      <c r="E288" s="4">
        <v>214</v>
      </c>
      <c r="F288" s="4">
        <f>ROUND(Source!AS271,O288)</f>
        <v>0</v>
      </c>
      <c r="G288" s="4" t="s">
        <v>85</v>
      </c>
      <c r="H288" s="4" t="s">
        <v>86</v>
      </c>
      <c r="I288" s="4"/>
      <c r="J288" s="4"/>
      <c r="K288" s="4">
        <v>-214</v>
      </c>
      <c r="L288" s="4">
        <v>16</v>
      </c>
      <c r="M288" s="4">
        <v>3</v>
      </c>
      <c r="N288" s="4" t="s">
        <v>3</v>
      </c>
      <c r="O288" s="4">
        <v>2</v>
      </c>
      <c r="P288" s="4"/>
      <c r="Q288" s="4"/>
      <c r="R288" s="4"/>
      <c r="S288" s="4"/>
      <c r="T288" s="4"/>
      <c r="U288" s="4"/>
      <c r="V288" s="4"/>
      <c r="W288" s="4"/>
    </row>
    <row r="289" spans="1:245" x14ac:dyDescent="0.2">
      <c r="A289" s="4">
        <v>50</v>
      </c>
      <c r="B289" s="4">
        <v>0</v>
      </c>
      <c r="C289" s="4">
        <v>0</v>
      </c>
      <c r="D289" s="4">
        <v>1</v>
      </c>
      <c r="E289" s="4">
        <v>215</v>
      </c>
      <c r="F289" s="4">
        <f>ROUND(Source!AT271,O289)</f>
        <v>0</v>
      </c>
      <c r="G289" s="4" t="s">
        <v>87</v>
      </c>
      <c r="H289" s="4" t="s">
        <v>88</v>
      </c>
      <c r="I289" s="4"/>
      <c r="J289" s="4"/>
      <c r="K289" s="4">
        <v>-215</v>
      </c>
      <c r="L289" s="4">
        <v>17</v>
      </c>
      <c r="M289" s="4">
        <v>3</v>
      </c>
      <c r="N289" s="4" t="s">
        <v>3</v>
      </c>
      <c r="O289" s="4">
        <v>2</v>
      </c>
      <c r="P289" s="4"/>
      <c r="Q289" s="4"/>
      <c r="R289" s="4"/>
      <c r="S289" s="4"/>
      <c r="T289" s="4"/>
      <c r="U289" s="4"/>
      <c r="V289" s="4"/>
      <c r="W289" s="4"/>
    </row>
    <row r="290" spans="1:245" x14ac:dyDescent="0.2">
      <c r="A290" s="4">
        <v>50</v>
      </c>
      <c r="B290" s="4">
        <v>0</v>
      </c>
      <c r="C290" s="4">
        <v>0</v>
      </c>
      <c r="D290" s="4">
        <v>1</v>
      </c>
      <c r="E290" s="4">
        <v>217</v>
      </c>
      <c r="F290" s="4">
        <f>ROUND(Source!AU271,O290)</f>
        <v>169866.97</v>
      </c>
      <c r="G290" s="4" t="s">
        <v>89</v>
      </c>
      <c r="H290" s="4" t="s">
        <v>90</v>
      </c>
      <c r="I290" s="4"/>
      <c r="J290" s="4"/>
      <c r="K290" s="4">
        <v>-217</v>
      </c>
      <c r="L290" s="4">
        <v>18</v>
      </c>
      <c r="M290" s="4">
        <v>3</v>
      </c>
      <c r="N290" s="4" t="s">
        <v>3</v>
      </c>
      <c r="O290" s="4">
        <v>2</v>
      </c>
      <c r="P290" s="4"/>
      <c r="Q290" s="4"/>
      <c r="R290" s="4"/>
      <c r="S290" s="4"/>
      <c r="T290" s="4"/>
      <c r="U290" s="4"/>
      <c r="V290" s="4"/>
      <c r="W290" s="4"/>
    </row>
    <row r="291" spans="1:245" x14ac:dyDescent="0.2">
      <c r="A291" s="4">
        <v>50</v>
      </c>
      <c r="B291" s="4">
        <v>0</v>
      </c>
      <c r="C291" s="4">
        <v>0</v>
      </c>
      <c r="D291" s="4">
        <v>1</v>
      </c>
      <c r="E291" s="4">
        <v>230</v>
      </c>
      <c r="F291" s="4">
        <f>ROUND(Source!BA271,O291)</f>
        <v>0</v>
      </c>
      <c r="G291" s="4" t="s">
        <v>91</v>
      </c>
      <c r="H291" s="4" t="s">
        <v>92</v>
      </c>
      <c r="I291" s="4"/>
      <c r="J291" s="4"/>
      <c r="K291" s="4">
        <v>-230</v>
      </c>
      <c r="L291" s="4">
        <v>19</v>
      </c>
      <c r="M291" s="4">
        <v>3</v>
      </c>
      <c r="N291" s="4" t="s">
        <v>3</v>
      </c>
      <c r="O291" s="4">
        <v>2</v>
      </c>
      <c r="P291" s="4"/>
      <c r="Q291" s="4"/>
      <c r="R291" s="4"/>
      <c r="S291" s="4"/>
      <c r="T291" s="4"/>
      <c r="U291" s="4"/>
      <c r="V291" s="4"/>
      <c r="W291" s="4"/>
    </row>
    <row r="292" spans="1:245" x14ac:dyDescent="0.2">
      <c r="A292" s="4">
        <v>50</v>
      </c>
      <c r="B292" s="4">
        <v>0</v>
      </c>
      <c r="C292" s="4">
        <v>0</v>
      </c>
      <c r="D292" s="4">
        <v>1</v>
      </c>
      <c r="E292" s="4">
        <v>206</v>
      </c>
      <c r="F292" s="4">
        <f>ROUND(Source!T271,O292)</f>
        <v>0</v>
      </c>
      <c r="G292" s="4" t="s">
        <v>93</v>
      </c>
      <c r="H292" s="4" t="s">
        <v>94</v>
      </c>
      <c r="I292" s="4"/>
      <c r="J292" s="4"/>
      <c r="K292" s="4">
        <v>-206</v>
      </c>
      <c r="L292" s="4">
        <v>20</v>
      </c>
      <c r="M292" s="4">
        <v>3</v>
      </c>
      <c r="N292" s="4" t="s">
        <v>3</v>
      </c>
      <c r="O292" s="4">
        <v>2</v>
      </c>
      <c r="P292" s="4"/>
      <c r="Q292" s="4"/>
      <c r="R292" s="4"/>
      <c r="S292" s="4"/>
      <c r="T292" s="4"/>
      <c r="U292" s="4"/>
      <c r="V292" s="4"/>
      <c r="W292" s="4"/>
    </row>
    <row r="293" spans="1:245" x14ac:dyDescent="0.2">
      <c r="A293" s="4">
        <v>50</v>
      </c>
      <c r="B293" s="4">
        <v>0</v>
      </c>
      <c r="C293" s="4">
        <v>0</v>
      </c>
      <c r="D293" s="4">
        <v>1</v>
      </c>
      <c r="E293" s="4">
        <v>207</v>
      </c>
      <c r="F293" s="4">
        <f>Source!U271</f>
        <v>34.775546000000006</v>
      </c>
      <c r="G293" s="4" t="s">
        <v>95</v>
      </c>
      <c r="H293" s="4" t="s">
        <v>96</v>
      </c>
      <c r="I293" s="4"/>
      <c r="J293" s="4"/>
      <c r="K293" s="4">
        <v>-207</v>
      </c>
      <c r="L293" s="4">
        <v>21</v>
      </c>
      <c r="M293" s="4">
        <v>3</v>
      </c>
      <c r="N293" s="4" t="s">
        <v>3</v>
      </c>
      <c r="O293" s="4">
        <v>-1</v>
      </c>
      <c r="P293" s="4"/>
      <c r="Q293" s="4"/>
      <c r="R293" s="4"/>
      <c r="S293" s="4"/>
      <c r="T293" s="4"/>
      <c r="U293" s="4"/>
      <c r="V293" s="4"/>
      <c r="W293" s="4"/>
    </row>
    <row r="294" spans="1:245" x14ac:dyDescent="0.2">
      <c r="A294" s="4">
        <v>50</v>
      </c>
      <c r="B294" s="4">
        <v>0</v>
      </c>
      <c r="C294" s="4">
        <v>0</v>
      </c>
      <c r="D294" s="4">
        <v>1</v>
      </c>
      <c r="E294" s="4">
        <v>208</v>
      </c>
      <c r="F294" s="4">
        <f>Source!V271</f>
        <v>0</v>
      </c>
      <c r="G294" s="4" t="s">
        <v>97</v>
      </c>
      <c r="H294" s="4" t="s">
        <v>98</v>
      </c>
      <c r="I294" s="4"/>
      <c r="J294" s="4"/>
      <c r="K294" s="4">
        <v>-208</v>
      </c>
      <c r="L294" s="4">
        <v>22</v>
      </c>
      <c r="M294" s="4">
        <v>3</v>
      </c>
      <c r="N294" s="4" t="s">
        <v>3</v>
      </c>
      <c r="O294" s="4">
        <v>-1</v>
      </c>
      <c r="P294" s="4"/>
      <c r="Q294" s="4"/>
      <c r="R294" s="4"/>
      <c r="S294" s="4"/>
      <c r="T294" s="4"/>
      <c r="U294" s="4"/>
      <c r="V294" s="4"/>
      <c r="W294" s="4"/>
    </row>
    <row r="295" spans="1:245" x14ac:dyDescent="0.2">
      <c r="A295" s="4">
        <v>50</v>
      </c>
      <c r="B295" s="4">
        <v>0</v>
      </c>
      <c r="C295" s="4">
        <v>0</v>
      </c>
      <c r="D295" s="4">
        <v>1</v>
      </c>
      <c r="E295" s="4">
        <v>209</v>
      </c>
      <c r="F295" s="4">
        <f>ROUND(Source!W271,O295)</f>
        <v>0</v>
      </c>
      <c r="G295" s="4" t="s">
        <v>99</v>
      </c>
      <c r="H295" s="4" t="s">
        <v>100</v>
      </c>
      <c r="I295" s="4"/>
      <c r="J295" s="4"/>
      <c r="K295" s="4">
        <v>-209</v>
      </c>
      <c r="L295" s="4">
        <v>23</v>
      </c>
      <c r="M295" s="4">
        <v>3</v>
      </c>
      <c r="N295" s="4" t="s">
        <v>3</v>
      </c>
      <c r="O295" s="4">
        <v>2</v>
      </c>
      <c r="P295" s="4"/>
      <c r="Q295" s="4"/>
      <c r="R295" s="4"/>
      <c r="S295" s="4"/>
      <c r="T295" s="4"/>
      <c r="U295" s="4"/>
      <c r="V295" s="4"/>
      <c r="W295" s="4"/>
    </row>
    <row r="296" spans="1:245" x14ac:dyDescent="0.2">
      <c r="A296" s="4">
        <v>50</v>
      </c>
      <c r="B296" s="4">
        <v>0</v>
      </c>
      <c r="C296" s="4">
        <v>0</v>
      </c>
      <c r="D296" s="4">
        <v>1</v>
      </c>
      <c r="E296" s="4">
        <v>210</v>
      </c>
      <c r="F296" s="4">
        <f>ROUND(Source!X271,O296)</f>
        <v>4464.59</v>
      </c>
      <c r="G296" s="4" t="s">
        <v>101</v>
      </c>
      <c r="H296" s="4" t="s">
        <v>102</v>
      </c>
      <c r="I296" s="4"/>
      <c r="J296" s="4"/>
      <c r="K296" s="4">
        <v>-210</v>
      </c>
      <c r="L296" s="4">
        <v>24</v>
      </c>
      <c r="M296" s="4">
        <v>3</v>
      </c>
      <c r="N296" s="4" t="s">
        <v>3</v>
      </c>
      <c r="O296" s="4">
        <v>2</v>
      </c>
      <c r="P296" s="4"/>
      <c r="Q296" s="4"/>
      <c r="R296" s="4"/>
      <c r="S296" s="4"/>
      <c r="T296" s="4"/>
      <c r="U296" s="4"/>
      <c r="V296" s="4"/>
      <c r="W296" s="4"/>
    </row>
    <row r="297" spans="1:245" x14ac:dyDescent="0.2">
      <c r="A297" s="4">
        <v>50</v>
      </c>
      <c r="B297" s="4">
        <v>0</v>
      </c>
      <c r="C297" s="4">
        <v>0</v>
      </c>
      <c r="D297" s="4">
        <v>1</v>
      </c>
      <c r="E297" s="4">
        <v>211</v>
      </c>
      <c r="F297" s="4">
        <f>ROUND(Source!Y271,O297)</f>
        <v>634.83000000000004</v>
      </c>
      <c r="G297" s="4" t="s">
        <v>103</v>
      </c>
      <c r="H297" s="4" t="s">
        <v>104</v>
      </c>
      <c r="I297" s="4"/>
      <c r="J297" s="4"/>
      <c r="K297" s="4">
        <v>-211</v>
      </c>
      <c r="L297" s="4">
        <v>25</v>
      </c>
      <c r="M297" s="4">
        <v>3</v>
      </c>
      <c r="N297" s="4" t="s">
        <v>3</v>
      </c>
      <c r="O297" s="4">
        <v>2</v>
      </c>
      <c r="P297" s="4"/>
      <c r="Q297" s="4"/>
      <c r="R297" s="4"/>
      <c r="S297" s="4"/>
      <c r="T297" s="4"/>
      <c r="U297" s="4"/>
      <c r="V297" s="4"/>
      <c r="W297" s="4"/>
    </row>
    <row r="298" spans="1:245" x14ac:dyDescent="0.2">
      <c r="A298" s="4">
        <v>50</v>
      </c>
      <c r="B298" s="4">
        <v>0</v>
      </c>
      <c r="C298" s="4">
        <v>0</v>
      </c>
      <c r="D298" s="4">
        <v>1</v>
      </c>
      <c r="E298" s="4">
        <v>224</v>
      </c>
      <c r="F298" s="4">
        <f>ROUND(Source!AR271,O298)</f>
        <v>169866.97</v>
      </c>
      <c r="G298" s="4" t="s">
        <v>105</v>
      </c>
      <c r="H298" s="4" t="s">
        <v>106</v>
      </c>
      <c r="I298" s="4"/>
      <c r="J298" s="4"/>
      <c r="K298" s="4">
        <v>-224</v>
      </c>
      <c r="L298" s="4">
        <v>26</v>
      </c>
      <c r="M298" s="4">
        <v>3</v>
      </c>
      <c r="N298" s="4" t="s">
        <v>3</v>
      </c>
      <c r="O298" s="4">
        <v>2</v>
      </c>
      <c r="P298" s="4"/>
      <c r="Q298" s="4"/>
      <c r="R298" s="4"/>
      <c r="S298" s="4"/>
      <c r="T298" s="4"/>
      <c r="U298" s="4"/>
      <c r="V298" s="4"/>
      <c r="W298" s="4"/>
    </row>
    <row r="300" spans="1:245" x14ac:dyDescent="0.2">
      <c r="A300" s="1">
        <v>4</v>
      </c>
      <c r="B300" s="1">
        <v>1</v>
      </c>
      <c r="C300" s="1"/>
      <c r="D300" s="1">
        <f>ROW(A314)</f>
        <v>314</v>
      </c>
      <c r="E300" s="1"/>
      <c r="F300" s="1" t="s">
        <v>12</v>
      </c>
      <c r="G300" s="1" t="s">
        <v>179</v>
      </c>
      <c r="H300" s="1" t="s">
        <v>3</v>
      </c>
      <c r="I300" s="1">
        <v>0</v>
      </c>
      <c r="J300" s="1"/>
      <c r="K300" s="1">
        <v>0</v>
      </c>
      <c r="L300" s="1"/>
      <c r="M300" s="1"/>
      <c r="N300" s="1"/>
      <c r="O300" s="1"/>
      <c r="P300" s="1"/>
      <c r="Q300" s="1"/>
      <c r="R300" s="1"/>
      <c r="S300" s="1"/>
      <c r="T300" s="1"/>
      <c r="U300" s="1" t="s">
        <v>3</v>
      </c>
      <c r="V300" s="1">
        <v>0</v>
      </c>
      <c r="W300" s="1"/>
      <c r="X300" s="1"/>
      <c r="Y300" s="1"/>
      <c r="Z300" s="1"/>
      <c r="AA300" s="1"/>
      <c r="AB300" s="1" t="s">
        <v>3</v>
      </c>
      <c r="AC300" s="1" t="s">
        <v>3</v>
      </c>
      <c r="AD300" s="1" t="s">
        <v>3</v>
      </c>
      <c r="AE300" s="1" t="s">
        <v>3</v>
      </c>
      <c r="AF300" s="1" t="s">
        <v>3</v>
      </c>
      <c r="AG300" s="1" t="s">
        <v>3</v>
      </c>
      <c r="AH300" s="1"/>
      <c r="AI300" s="1"/>
      <c r="AJ300" s="1"/>
      <c r="AK300" s="1"/>
      <c r="AL300" s="1"/>
      <c r="AM300" s="1"/>
      <c r="AN300" s="1"/>
      <c r="AO300" s="1"/>
      <c r="AP300" s="1" t="s">
        <v>3</v>
      </c>
      <c r="AQ300" s="1" t="s">
        <v>3</v>
      </c>
      <c r="AR300" s="1" t="s">
        <v>3</v>
      </c>
      <c r="AS300" s="1"/>
      <c r="AT300" s="1"/>
      <c r="AU300" s="1"/>
      <c r="AV300" s="1"/>
      <c r="AW300" s="1"/>
      <c r="AX300" s="1"/>
      <c r="AY300" s="1"/>
      <c r="AZ300" s="1" t="s">
        <v>3</v>
      </c>
      <c r="BA300" s="1"/>
      <c r="BB300" s="1" t="s">
        <v>3</v>
      </c>
      <c r="BC300" s="1" t="s">
        <v>3</v>
      </c>
      <c r="BD300" s="1" t="s">
        <v>3</v>
      </c>
      <c r="BE300" s="1" t="s">
        <v>3</v>
      </c>
      <c r="BF300" s="1" t="s">
        <v>3</v>
      </c>
      <c r="BG300" s="1" t="s">
        <v>3</v>
      </c>
      <c r="BH300" s="1" t="s">
        <v>3</v>
      </c>
      <c r="BI300" s="1" t="s">
        <v>3</v>
      </c>
      <c r="BJ300" s="1" t="s">
        <v>3</v>
      </c>
      <c r="BK300" s="1" t="s">
        <v>3</v>
      </c>
      <c r="BL300" s="1" t="s">
        <v>3</v>
      </c>
      <c r="BM300" s="1" t="s">
        <v>3</v>
      </c>
      <c r="BN300" s="1" t="s">
        <v>3</v>
      </c>
      <c r="BO300" s="1" t="s">
        <v>3</v>
      </c>
      <c r="BP300" s="1" t="s">
        <v>3</v>
      </c>
      <c r="BQ300" s="1"/>
      <c r="BR300" s="1"/>
      <c r="BS300" s="1"/>
      <c r="BT300" s="1"/>
      <c r="BU300" s="1"/>
      <c r="BV300" s="1"/>
      <c r="BW300" s="1"/>
      <c r="BX300" s="1">
        <v>0</v>
      </c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>
        <v>0</v>
      </c>
    </row>
    <row r="302" spans="1:245" x14ac:dyDescent="0.2">
      <c r="A302" s="2">
        <v>52</v>
      </c>
      <c r="B302" s="2">
        <f t="shared" ref="B302:G302" si="207">B314</f>
        <v>1</v>
      </c>
      <c r="C302" s="2">
        <f t="shared" si="207"/>
        <v>4</v>
      </c>
      <c r="D302" s="2">
        <f t="shared" si="207"/>
        <v>300</v>
      </c>
      <c r="E302" s="2">
        <f t="shared" si="207"/>
        <v>0</v>
      </c>
      <c r="F302" s="2" t="str">
        <f t="shared" si="207"/>
        <v>Новый раздел</v>
      </c>
      <c r="G302" s="2" t="str">
        <f t="shared" si="207"/>
        <v>Устройство резинового покрытия на детских площадках - 1099м2</v>
      </c>
      <c r="H302" s="2"/>
      <c r="I302" s="2"/>
      <c r="J302" s="2"/>
      <c r="K302" s="2"/>
      <c r="L302" s="2"/>
      <c r="M302" s="2"/>
      <c r="N302" s="2"/>
      <c r="O302" s="2">
        <f t="shared" ref="O302:AT302" si="208">O314</f>
        <v>1901691.48</v>
      </c>
      <c r="P302" s="2">
        <f t="shared" si="208"/>
        <v>1637817.2</v>
      </c>
      <c r="Q302" s="2">
        <f t="shared" si="208"/>
        <v>183510.25</v>
      </c>
      <c r="R302" s="2">
        <f t="shared" si="208"/>
        <v>105706.23</v>
      </c>
      <c r="S302" s="2">
        <f t="shared" si="208"/>
        <v>80364.03</v>
      </c>
      <c r="T302" s="2">
        <f t="shared" si="208"/>
        <v>0</v>
      </c>
      <c r="U302" s="2">
        <f t="shared" si="208"/>
        <v>439.92622</v>
      </c>
      <c r="V302" s="2">
        <f t="shared" si="208"/>
        <v>0</v>
      </c>
      <c r="W302" s="2">
        <f t="shared" si="208"/>
        <v>0</v>
      </c>
      <c r="X302" s="2">
        <f t="shared" si="208"/>
        <v>56417.07</v>
      </c>
      <c r="Y302" s="2">
        <f t="shared" si="208"/>
        <v>8036.4</v>
      </c>
      <c r="Z302" s="2">
        <f t="shared" si="208"/>
        <v>0</v>
      </c>
      <c r="AA302" s="2">
        <f t="shared" si="208"/>
        <v>0</v>
      </c>
      <c r="AB302" s="2">
        <f t="shared" si="208"/>
        <v>1901691.48</v>
      </c>
      <c r="AC302" s="2">
        <f t="shared" si="208"/>
        <v>1637817.2</v>
      </c>
      <c r="AD302" s="2">
        <f t="shared" si="208"/>
        <v>183510.25</v>
      </c>
      <c r="AE302" s="2">
        <f t="shared" si="208"/>
        <v>105706.23</v>
      </c>
      <c r="AF302" s="2">
        <f t="shared" si="208"/>
        <v>80364.03</v>
      </c>
      <c r="AG302" s="2">
        <f t="shared" si="208"/>
        <v>0</v>
      </c>
      <c r="AH302" s="2">
        <f t="shared" si="208"/>
        <v>439.92622</v>
      </c>
      <c r="AI302" s="2">
        <f t="shared" si="208"/>
        <v>0</v>
      </c>
      <c r="AJ302" s="2">
        <f t="shared" si="208"/>
        <v>0</v>
      </c>
      <c r="AK302" s="2">
        <f t="shared" si="208"/>
        <v>56417.07</v>
      </c>
      <c r="AL302" s="2">
        <f t="shared" si="208"/>
        <v>8036.4</v>
      </c>
      <c r="AM302" s="2">
        <f t="shared" si="208"/>
        <v>0</v>
      </c>
      <c r="AN302" s="2">
        <f t="shared" si="208"/>
        <v>0</v>
      </c>
      <c r="AO302" s="2">
        <f t="shared" si="208"/>
        <v>0</v>
      </c>
      <c r="AP302" s="2">
        <f t="shared" si="208"/>
        <v>0</v>
      </c>
      <c r="AQ302" s="2">
        <f t="shared" si="208"/>
        <v>0</v>
      </c>
      <c r="AR302" s="2">
        <f t="shared" si="208"/>
        <v>2027063.2</v>
      </c>
      <c r="AS302" s="2">
        <f t="shared" si="208"/>
        <v>0</v>
      </c>
      <c r="AT302" s="2">
        <f t="shared" si="208"/>
        <v>0</v>
      </c>
      <c r="AU302" s="2">
        <f t="shared" ref="AU302:BZ302" si="209">AU314</f>
        <v>2027063.2</v>
      </c>
      <c r="AV302" s="2">
        <f t="shared" si="209"/>
        <v>1637817.2</v>
      </c>
      <c r="AW302" s="2">
        <f t="shared" si="209"/>
        <v>1637817.2</v>
      </c>
      <c r="AX302" s="2">
        <f t="shared" si="209"/>
        <v>0</v>
      </c>
      <c r="AY302" s="2">
        <f t="shared" si="209"/>
        <v>1637817.2</v>
      </c>
      <c r="AZ302" s="2">
        <f t="shared" si="209"/>
        <v>0</v>
      </c>
      <c r="BA302" s="2">
        <f t="shared" si="209"/>
        <v>0</v>
      </c>
      <c r="BB302" s="2">
        <f t="shared" si="209"/>
        <v>0</v>
      </c>
      <c r="BC302" s="2">
        <f t="shared" si="209"/>
        <v>0</v>
      </c>
      <c r="BD302" s="2">
        <f t="shared" si="209"/>
        <v>0</v>
      </c>
      <c r="BE302" s="2">
        <f t="shared" si="209"/>
        <v>0</v>
      </c>
      <c r="BF302" s="2">
        <f t="shared" si="209"/>
        <v>0</v>
      </c>
      <c r="BG302" s="2">
        <f t="shared" si="209"/>
        <v>0</v>
      </c>
      <c r="BH302" s="2">
        <f t="shared" si="209"/>
        <v>0</v>
      </c>
      <c r="BI302" s="2">
        <f t="shared" si="209"/>
        <v>0</v>
      </c>
      <c r="BJ302" s="2">
        <f t="shared" si="209"/>
        <v>0</v>
      </c>
      <c r="BK302" s="2">
        <f t="shared" si="209"/>
        <v>0</v>
      </c>
      <c r="BL302" s="2">
        <f t="shared" si="209"/>
        <v>0</v>
      </c>
      <c r="BM302" s="2">
        <f t="shared" si="209"/>
        <v>0</v>
      </c>
      <c r="BN302" s="2">
        <f t="shared" si="209"/>
        <v>0</v>
      </c>
      <c r="BO302" s="2">
        <f t="shared" si="209"/>
        <v>0</v>
      </c>
      <c r="BP302" s="2">
        <f t="shared" si="209"/>
        <v>0</v>
      </c>
      <c r="BQ302" s="2">
        <f t="shared" si="209"/>
        <v>0</v>
      </c>
      <c r="BR302" s="2">
        <f t="shared" si="209"/>
        <v>0</v>
      </c>
      <c r="BS302" s="2">
        <f t="shared" si="209"/>
        <v>0</v>
      </c>
      <c r="BT302" s="2">
        <f t="shared" si="209"/>
        <v>0</v>
      </c>
      <c r="BU302" s="2">
        <f t="shared" si="209"/>
        <v>0</v>
      </c>
      <c r="BV302" s="2">
        <f t="shared" si="209"/>
        <v>0</v>
      </c>
      <c r="BW302" s="2">
        <f t="shared" si="209"/>
        <v>0</v>
      </c>
      <c r="BX302" s="2">
        <f t="shared" si="209"/>
        <v>0</v>
      </c>
      <c r="BY302" s="2">
        <f t="shared" si="209"/>
        <v>0</v>
      </c>
      <c r="BZ302" s="2">
        <f t="shared" si="209"/>
        <v>0</v>
      </c>
      <c r="CA302" s="2">
        <f t="shared" ref="CA302:DF302" si="210">CA314</f>
        <v>2027063.2</v>
      </c>
      <c r="CB302" s="2">
        <f t="shared" si="210"/>
        <v>0</v>
      </c>
      <c r="CC302" s="2">
        <f t="shared" si="210"/>
        <v>0</v>
      </c>
      <c r="CD302" s="2">
        <f t="shared" si="210"/>
        <v>2027063.2</v>
      </c>
      <c r="CE302" s="2">
        <f t="shared" si="210"/>
        <v>1637817.2</v>
      </c>
      <c r="CF302" s="2">
        <f t="shared" si="210"/>
        <v>1637817.2</v>
      </c>
      <c r="CG302" s="2">
        <f t="shared" si="210"/>
        <v>0</v>
      </c>
      <c r="CH302" s="2">
        <f t="shared" si="210"/>
        <v>1637817.2</v>
      </c>
      <c r="CI302" s="2">
        <f t="shared" si="210"/>
        <v>0</v>
      </c>
      <c r="CJ302" s="2">
        <f t="shared" si="210"/>
        <v>0</v>
      </c>
      <c r="CK302" s="2">
        <f t="shared" si="210"/>
        <v>0</v>
      </c>
      <c r="CL302" s="2">
        <f t="shared" si="210"/>
        <v>0</v>
      </c>
      <c r="CM302" s="2">
        <f t="shared" si="210"/>
        <v>0</v>
      </c>
      <c r="CN302" s="2">
        <f t="shared" si="210"/>
        <v>0</v>
      </c>
      <c r="CO302" s="2">
        <f t="shared" si="210"/>
        <v>0</v>
      </c>
      <c r="CP302" s="2">
        <f t="shared" si="210"/>
        <v>0</v>
      </c>
      <c r="CQ302" s="2">
        <f t="shared" si="210"/>
        <v>0</v>
      </c>
      <c r="CR302" s="2">
        <f t="shared" si="210"/>
        <v>0</v>
      </c>
      <c r="CS302" s="2">
        <f t="shared" si="210"/>
        <v>0</v>
      </c>
      <c r="CT302" s="2">
        <f t="shared" si="210"/>
        <v>0</v>
      </c>
      <c r="CU302" s="2">
        <f t="shared" si="210"/>
        <v>0</v>
      </c>
      <c r="CV302" s="2">
        <f t="shared" si="210"/>
        <v>0</v>
      </c>
      <c r="CW302" s="2">
        <f t="shared" si="210"/>
        <v>0</v>
      </c>
      <c r="CX302" s="2">
        <f t="shared" si="210"/>
        <v>0</v>
      </c>
      <c r="CY302" s="2">
        <f t="shared" si="210"/>
        <v>0</v>
      </c>
      <c r="CZ302" s="2">
        <f t="shared" si="210"/>
        <v>0</v>
      </c>
      <c r="DA302" s="2">
        <f t="shared" si="210"/>
        <v>0</v>
      </c>
      <c r="DB302" s="2">
        <f t="shared" si="210"/>
        <v>0</v>
      </c>
      <c r="DC302" s="2">
        <f t="shared" si="210"/>
        <v>0</v>
      </c>
      <c r="DD302" s="2">
        <f t="shared" si="210"/>
        <v>0</v>
      </c>
      <c r="DE302" s="2">
        <f t="shared" si="210"/>
        <v>0</v>
      </c>
      <c r="DF302" s="2">
        <f t="shared" si="210"/>
        <v>0</v>
      </c>
      <c r="DG302" s="3">
        <f t="shared" ref="DG302:EL302" si="211">DG314</f>
        <v>0</v>
      </c>
      <c r="DH302" s="3">
        <f t="shared" si="211"/>
        <v>0</v>
      </c>
      <c r="DI302" s="3">
        <f t="shared" si="211"/>
        <v>0</v>
      </c>
      <c r="DJ302" s="3">
        <f t="shared" si="211"/>
        <v>0</v>
      </c>
      <c r="DK302" s="3">
        <f t="shared" si="211"/>
        <v>0</v>
      </c>
      <c r="DL302" s="3">
        <f t="shared" si="211"/>
        <v>0</v>
      </c>
      <c r="DM302" s="3">
        <f t="shared" si="211"/>
        <v>0</v>
      </c>
      <c r="DN302" s="3">
        <f t="shared" si="211"/>
        <v>0</v>
      </c>
      <c r="DO302" s="3">
        <f t="shared" si="211"/>
        <v>0</v>
      </c>
      <c r="DP302" s="3">
        <f t="shared" si="211"/>
        <v>0</v>
      </c>
      <c r="DQ302" s="3">
        <f t="shared" si="211"/>
        <v>0</v>
      </c>
      <c r="DR302" s="3">
        <f t="shared" si="211"/>
        <v>0</v>
      </c>
      <c r="DS302" s="3">
        <f t="shared" si="211"/>
        <v>0</v>
      </c>
      <c r="DT302" s="3">
        <f t="shared" si="211"/>
        <v>0</v>
      </c>
      <c r="DU302" s="3">
        <f t="shared" si="211"/>
        <v>0</v>
      </c>
      <c r="DV302" s="3">
        <f t="shared" si="211"/>
        <v>0</v>
      </c>
      <c r="DW302" s="3">
        <f t="shared" si="211"/>
        <v>0</v>
      </c>
      <c r="DX302" s="3">
        <f t="shared" si="211"/>
        <v>0</v>
      </c>
      <c r="DY302" s="3">
        <f t="shared" si="211"/>
        <v>0</v>
      </c>
      <c r="DZ302" s="3">
        <f t="shared" si="211"/>
        <v>0</v>
      </c>
      <c r="EA302" s="3">
        <f t="shared" si="211"/>
        <v>0</v>
      </c>
      <c r="EB302" s="3">
        <f t="shared" si="211"/>
        <v>0</v>
      </c>
      <c r="EC302" s="3">
        <f t="shared" si="211"/>
        <v>0</v>
      </c>
      <c r="ED302" s="3">
        <f t="shared" si="211"/>
        <v>0</v>
      </c>
      <c r="EE302" s="3">
        <f t="shared" si="211"/>
        <v>0</v>
      </c>
      <c r="EF302" s="3">
        <f t="shared" si="211"/>
        <v>0</v>
      </c>
      <c r="EG302" s="3">
        <f t="shared" si="211"/>
        <v>0</v>
      </c>
      <c r="EH302" s="3">
        <f t="shared" si="211"/>
        <v>0</v>
      </c>
      <c r="EI302" s="3">
        <f t="shared" si="211"/>
        <v>0</v>
      </c>
      <c r="EJ302" s="3">
        <f t="shared" si="211"/>
        <v>0</v>
      </c>
      <c r="EK302" s="3">
        <f t="shared" si="211"/>
        <v>0</v>
      </c>
      <c r="EL302" s="3">
        <f t="shared" si="211"/>
        <v>0</v>
      </c>
      <c r="EM302" s="3">
        <f t="shared" ref="EM302:FR302" si="212">EM314</f>
        <v>0</v>
      </c>
      <c r="EN302" s="3">
        <f t="shared" si="212"/>
        <v>0</v>
      </c>
      <c r="EO302" s="3">
        <f t="shared" si="212"/>
        <v>0</v>
      </c>
      <c r="EP302" s="3">
        <f t="shared" si="212"/>
        <v>0</v>
      </c>
      <c r="EQ302" s="3">
        <f t="shared" si="212"/>
        <v>0</v>
      </c>
      <c r="ER302" s="3">
        <f t="shared" si="212"/>
        <v>0</v>
      </c>
      <c r="ES302" s="3">
        <f t="shared" si="212"/>
        <v>0</v>
      </c>
      <c r="ET302" s="3">
        <f t="shared" si="212"/>
        <v>0</v>
      </c>
      <c r="EU302" s="3">
        <f t="shared" si="212"/>
        <v>0</v>
      </c>
      <c r="EV302" s="3">
        <f t="shared" si="212"/>
        <v>0</v>
      </c>
      <c r="EW302" s="3">
        <f t="shared" si="212"/>
        <v>0</v>
      </c>
      <c r="EX302" s="3">
        <f t="shared" si="212"/>
        <v>0</v>
      </c>
      <c r="EY302" s="3">
        <f t="shared" si="212"/>
        <v>0</v>
      </c>
      <c r="EZ302" s="3">
        <f t="shared" si="212"/>
        <v>0</v>
      </c>
      <c r="FA302" s="3">
        <f t="shared" si="212"/>
        <v>0</v>
      </c>
      <c r="FB302" s="3">
        <f t="shared" si="212"/>
        <v>0</v>
      </c>
      <c r="FC302" s="3">
        <f t="shared" si="212"/>
        <v>0</v>
      </c>
      <c r="FD302" s="3">
        <f t="shared" si="212"/>
        <v>0</v>
      </c>
      <c r="FE302" s="3">
        <f t="shared" si="212"/>
        <v>0</v>
      </c>
      <c r="FF302" s="3">
        <f t="shared" si="212"/>
        <v>0</v>
      </c>
      <c r="FG302" s="3">
        <f t="shared" si="212"/>
        <v>0</v>
      </c>
      <c r="FH302" s="3">
        <f t="shared" si="212"/>
        <v>0</v>
      </c>
      <c r="FI302" s="3">
        <f t="shared" si="212"/>
        <v>0</v>
      </c>
      <c r="FJ302" s="3">
        <f t="shared" si="212"/>
        <v>0</v>
      </c>
      <c r="FK302" s="3">
        <f t="shared" si="212"/>
        <v>0</v>
      </c>
      <c r="FL302" s="3">
        <f t="shared" si="212"/>
        <v>0</v>
      </c>
      <c r="FM302" s="3">
        <f t="shared" si="212"/>
        <v>0</v>
      </c>
      <c r="FN302" s="3">
        <f t="shared" si="212"/>
        <v>0</v>
      </c>
      <c r="FO302" s="3">
        <f t="shared" si="212"/>
        <v>0</v>
      </c>
      <c r="FP302" s="3">
        <f t="shared" si="212"/>
        <v>0</v>
      </c>
      <c r="FQ302" s="3">
        <f t="shared" si="212"/>
        <v>0</v>
      </c>
      <c r="FR302" s="3">
        <f t="shared" si="212"/>
        <v>0</v>
      </c>
      <c r="FS302" s="3">
        <f t="shared" ref="FS302:GX302" si="213">FS314</f>
        <v>0</v>
      </c>
      <c r="FT302" s="3">
        <f t="shared" si="213"/>
        <v>0</v>
      </c>
      <c r="FU302" s="3">
        <f t="shared" si="213"/>
        <v>0</v>
      </c>
      <c r="FV302" s="3">
        <f t="shared" si="213"/>
        <v>0</v>
      </c>
      <c r="FW302" s="3">
        <f t="shared" si="213"/>
        <v>0</v>
      </c>
      <c r="FX302" s="3">
        <f t="shared" si="213"/>
        <v>0</v>
      </c>
      <c r="FY302" s="3">
        <f t="shared" si="213"/>
        <v>0</v>
      </c>
      <c r="FZ302" s="3">
        <f t="shared" si="213"/>
        <v>0</v>
      </c>
      <c r="GA302" s="3">
        <f t="shared" si="213"/>
        <v>0</v>
      </c>
      <c r="GB302" s="3">
        <f t="shared" si="213"/>
        <v>0</v>
      </c>
      <c r="GC302" s="3">
        <f t="shared" si="213"/>
        <v>0</v>
      </c>
      <c r="GD302" s="3">
        <f t="shared" si="213"/>
        <v>0</v>
      </c>
      <c r="GE302" s="3">
        <f t="shared" si="213"/>
        <v>0</v>
      </c>
      <c r="GF302" s="3">
        <f t="shared" si="213"/>
        <v>0</v>
      </c>
      <c r="GG302" s="3">
        <f t="shared" si="213"/>
        <v>0</v>
      </c>
      <c r="GH302" s="3">
        <f t="shared" si="213"/>
        <v>0</v>
      </c>
      <c r="GI302" s="3">
        <f t="shared" si="213"/>
        <v>0</v>
      </c>
      <c r="GJ302" s="3">
        <f t="shared" si="213"/>
        <v>0</v>
      </c>
      <c r="GK302" s="3">
        <f t="shared" si="213"/>
        <v>0</v>
      </c>
      <c r="GL302" s="3">
        <f t="shared" si="213"/>
        <v>0</v>
      </c>
      <c r="GM302" s="3">
        <f t="shared" si="213"/>
        <v>0</v>
      </c>
      <c r="GN302" s="3">
        <f t="shared" si="213"/>
        <v>0</v>
      </c>
      <c r="GO302" s="3">
        <f t="shared" si="213"/>
        <v>0</v>
      </c>
      <c r="GP302" s="3">
        <f t="shared" si="213"/>
        <v>0</v>
      </c>
      <c r="GQ302" s="3">
        <f t="shared" si="213"/>
        <v>0</v>
      </c>
      <c r="GR302" s="3">
        <f t="shared" si="213"/>
        <v>0</v>
      </c>
      <c r="GS302" s="3">
        <f t="shared" si="213"/>
        <v>0</v>
      </c>
      <c r="GT302" s="3">
        <f t="shared" si="213"/>
        <v>0</v>
      </c>
      <c r="GU302" s="3">
        <f t="shared" si="213"/>
        <v>0</v>
      </c>
      <c r="GV302" s="3">
        <f t="shared" si="213"/>
        <v>0</v>
      </c>
      <c r="GW302" s="3">
        <f t="shared" si="213"/>
        <v>0</v>
      </c>
      <c r="GX302" s="3">
        <f t="shared" si="213"/>
        <v>0</v>
      </c>
    </row>
    <row r="304" spans="1:245" x14ac:dyDescent="0.2">
      <c r="A304">
        <v>17</v>
      </c>
      <c r="B304">
        <v>1</v>
      </c>
      <c r="C304">
        <f>ROW(SmtRes!A168)</f>
        <v>168</v>
      </c>
      <c r="D304">
        <f>ROW(EtalonRes!A168)</f>
        <v>168</v>
      </c>
      <c r="E304" t="s">
        <v>180</v>
      </c>
      <c r="F304" t="s">
        <v>109</v>
      </c>
      <c r="G304" t="s">
        <v>110</v>
      </c>
      <c r="H304" t="s">
        <v>17</v>
      </c>
      <c r="I304">
        <f>ROUND(1099*0.36/100,9)</f>
        <v>3.9563999999999999</v>
      </c>
      <c r="J304">
        <v>0</v>
      </c>
      <c r="O304">
        <f t="shared" ref="O304:O312" si="214">ROUND(CP304,2)</f>
        <v>20177.28</v>
      </c>
      <c r="P304">
        <f t="shared" ref="P304:P312" si="215">ROUND(CQ304*I304,2)</f>
        <v>0</v>
      </c>
      <c r="Q304">
        <f t="shared" ref="Q304:Q312" si="216">ROUND(CR304*I304,2)</f>
        <v>19557.669999999998</v>
      </c>
      <c r="R304">
        <f t="shared" ref="R304:R312" si="217">ROUND(CS304*I304,2)</f>
        <v>7961.78</v>
      </c>
      <c r="S304">
        <f t="shared" ref="S304:S312" si="218">ROUND(CT304*I304,2)</f>
        <v>619.61</v>
      </c>
      <c r="T304">
        <f t="shared" ref="T304:T312" si="219">ROUND(CU304*I304,2)</f>
        <v>0</v>
      </c>
      <c r="U304">
        <f t="shared" ref="U304:U312" si="220">CV304*I304</f>
        <v>4.1542200000000005</v>
      </c>
      <c r="V304">
        <f t="shared" ref="V304:V312" si="221">CW304*I304</f>
        <v>0</v>
      </c>
      <c r="W304">
        <f t="shared" ref="W304:W312" si="222">ROUND(CX304*I304,2)</f>
        <v>0</v>
      </c>
      <c r="X304">
        <f t="shared" ref="X304:X312" si="223">ROUND(CY304,2)</f>
        <v>433.73</v>
      </c>
      <c r="Y304">
        <f t="shared" ref="Y304:Y312" si="224">ROUND(CZ304,2)</f>
        <v>61.96</v>
      </c>
      <c r="AA304">
        <v>37598633</v>
      </c>
      <c r="AB304">
        <f t="shared" ref="AB304:AB312" si="225">ROUND((AC304+AD304+AF304),6)</f>
        <v>5099.91</v>
      </c>
      <c r="AC304">
        <f>ROUND((ES304),6)</f>
        <v>0</v>
      </c>
      <c r="AD304">
        <f>ROUND((((ET304)-(EU304))+AE304),6)</f>
        <v>4943.3</v>
      </c>
      <c r="AE304">
        <f>ROUND((EU304),6)</f>
        <v>2012.38</v>
      </c>
      <c r="AF304">
        <f>ROUND((EV304),6)</f>
        <v>156.61000000000001</v>
      </c>
      <c r="AG304">
        <f t="shared" ref="AG304:AG312" si="226">ROUND((AP304),6)</f>
        <v>0</v>
      </c>
      <c r="AH304">
        <f>(EW304)</f>
        <v>1.05</v>
      </c>
      <c r="AI304">
        <f>(EX304)</f>
        <v>0</v>
      </c>
      <c r="AJ304">
        <f t="shared" ref="AJ304:AJ312" si="227">ROUND((AS304),6)</f>
        <v>0</v>
      </c>
      <c r="AK304">
        <v>5099.91</v>
      </c>
      <c r="AL304">
        <v>0</v>
      </c>
      <c r="AM304">
        <v>4943.3</v>
      </c>
      <c r="AN304">
        <v>2012.38</v>
      </c>
      <c r="AO304">
        <v>156.61000000000001</v>
      </c>
      <c r="AP304">
        <v>0</v>
      </c>
      <c r="AQ304">
        <v>1.05</v>
      </c>
      <c r="AR304">
        <v>0</v>
      </c>
      <c r="AS304">
        <v>0</v>
      </c>
      <c r="AT304">
        <v>70</v>
      </c>
      <c r="AU304">
        <v>10</v>
      </c>
      <c r="AV304">
        <v>1</v>
      </c>
      <c r="AW304">
        <v>1</v>
      </c>
      <c r="AZ304">
        <v>1</v>
      </c>
      <c r="BA304">
        <v>1</v>
      </c>
      <c r="BB304">
        <v>1</v>
      </c>
      <c r="BC304">
        <v>1</v>
      </c>
      <c r="BD304" t="s">
        <v>3</v>
      </c>
      <c r="BE304" t="s">
        <v>3</v>
      </c>
      <c r="BF304" t="s">
        <v>3</v>
      </c>
      <c r="BG304" t="s">
        <v>3</v>
      </c>
      <c r="BH304">
        <v>0</v>
      </c>
      <c r="BI304">
        <v>4</v>
      </c>
      <c r="BJ304" t="s">
        <v>111</v>
      </c>
      <c r="BM304">
        <v>0</v>
      </c>
      <c r="BN304">
        <v>0</v>
      </c>
      <c r="BO304" t="s">
        <v>3</v>
      </c>
      <c r="BP304">
        <v>0</v>
      </c>
      <c r="BQ304">
        <v>1</v>
      </c>
      <c r="BR304">
        <v>0</v>
      </c>
      <c r="BS304">
        <v>1</v>
      </c>
      <c r="BT304">
        <v>1</v>
      </c>
      <c r="BU304">
        <v>1</v>
      </c>
      <c r="BV304">
        <v>1</v>
      </c>
      <c r="BW304">
        <v>1</v>
      </c>
      <c r="BX304">
        <v>1</v>
      </c>
      <c r="BY304" t="s">
        <v>3</v>
      </c>
      <c r="BZ304">
        <v>70</v>
      </c>
      <c r="CA304">
        <v>10</v>
      </c>
      <c r="CF304">
        <v>0</v>
      </c>
      <c r="CG304">
        <v>0</v>
      </c>
      <c r="CM304">
        <v>0</v>
      </c>
      <c r="CN304" t="s">
        <v>3</v>
      </c>
      <c r="CO304">
        <v>0</v>
      </c>
      <c r="CP304">
        <f t="shared" ref="CP304:CP312" si="228">(P304+Q304+S304)</f>
        <v>20177.28</v>
      </c>
      <c r="CQ304">
        <f t="shared" ref="CQ304:CQ312" si="229">(AC304*BC304*AW304)</f>
        <v>0</v>
      </c>
      <c r="CR304">
        <f>((((ET304)*BB304-(EU304)*BS304)+AE304*BS304)*AV304)</f>
        <v>4943.3</v>
      </c>
      <c r="CS304">
        <f t="shared" ref="CS304:CS312" si="230">(AE304*BS304*AV304)</f>
        <v>2012.38</v>
      </c>
      <c r="CT304">
        <f t="shared" ref="CT304:CT312" si="231">(AF304*BA304*AV304)</f>
        <v>156.61000000000001</v>
      </c>
      <c r="CU304">
        <f t="shared" ref="CU304:CU312" si="232">AG304</f>
        <v>0</v>
      </c>
      <c r="CV304">
        <f t="shared" ref="CV304:CV312" si="233">(AH304*AV304)</f>
        <v>1.05</v>
      </c>
      <c r="CW304">
        <f t="shared" ref="CW304:CW312" si="234">AI304</f>
        <v>0</v>
      </c>
      <c r="CX304">
        <f t="shared" ref="CX304:CX312" si="235">AJ304</f>
        <v>0</v>
      </c>
      <c r="CY304">
        <f t="shared" ref="CY304:CY312" si="236">((S304*BZ304)/100)</f>
        <v>433.72700000000003</v>
      </c>
      <c r="CZ304">
        <f t="shared" ref="CZ304:CZ312" si="237">((S304*CA304)/100)</f>
        <v>61.961000000000006</v>
      </c>
      <c r="DC304" t="s">
        <v>3</v>
      </c>
      <c r="DD304" t="s">
        <v>3</v>
      </c>
      <c r="DE304" t="s">
        <v>3</v>
      </c>
      <c r="DF304" t="s">
        <v>3</v>
      </c>
      <c r="DG304" t="s">
        <v>3</v>
      </c>
      <c r="DH304" t="s">
        <v>3</v>
      </c>
      <c r="DI304" t="s">
        <v>3</v>
      </c>
      <c r="DJ304" t="s">
        <v>3</v>
      </c>
      <c r="DK304" t="s">
        <v>3</v>
      </c>
      <c r="DL304" t="s">
        <v>3</v>
      </c>
      <c r="DM304" t="s">
        <v>3</v>
      </c>
      <c r="DN304">
        <v>0</v>
      </c>
      <c r="DO304">
        <v>0</v>
      </c>
      <c r="DP304">
        <v>1</v>
      </c>
      <c r="DQ304">
        <v>1</v>
      </c>
      <c r="DU304">
        <v>1007</v>
      </c>
      <c r="DV304" t="s">
        <v>17</v>
      </c>
      <c r="DW304" t="s">
        <v>17</v>
      </c>
      <c r="DX304">
        <v>100</v>
      </c>
      <c r="EE304">
        <v>34176748</v>
      </c>
      <c r="EF304">
        <v>1</v>
      </c>
      <c r="EG304" t="s">
        <v>19</v>
      </c>
      <c r="EH304">
        <v>0</v>
      </c>
      <c r="EI304" t="s">
        <v>3</v>
      </c>
      <c r="EJ304">
        <v>4</v>
      </c>
      <c r="EK304">
        <v>0</v>
      </c>
      <c r="EL304" t="s">
        <v>20</v>
      </c>
      <c r="EM304" t="s">
        <v>21</v>
      </c>
      <c r="EO304" t="s">
        <v>3</v>
      </c>
      <c r="EQ304">
        <v>0</v>
      </c>
      <c r="ER304">
        <v>5099.91</v>
      </c>
      <c r="ES304">
        <v>0</v>
      </c>
      <c r="ET304">
        <v>4943.3</v>
      </c>
      <c r="EU304">
        <v>2012.38</v>
      </c>
      <c r="EV304">
        <v>156.61000000000001</v>
      </c>
      <c r="EW304">
        <v>1.05</v>
      </c>
      <c r="EX304">
        <v>0</v>
      </c>
      <c r="EY304">
        <v>0</v>
      </c>
      <c r="FQ304">
        <v>0</v>
      </c>
      <c r="FR304">
        <f t="shared" ref="FR304:FR312" si="238">ROUND(IF(AND(BH304=3,BI304=3),P304,0),2)</f>
        <v>0</v>
      </c>
      <c r="FS304">
        <v>0</v>
      </c>
      <c r="FX304">
        <v>70</v>
      </c>
      <c r="FY304">
        <v>10</v>
      </c>
      <c r="GA304" t="s">
        <v>3</v>
      </c>
      <c r="GD304">
        <v>0</v>
      </c>
      <c r="GF304">
        <v>677468817</v>
      </c>
      <c r="GG304">
        <v>2</v>
      </c>
      <c r="GH304">
        <v>1</v>
      </c>
      <c r="GI304">
        <v>-2</v>
      </c>
      <c r="GJ304">
        <v>0</v>
      </c>
      <c r="GK304">
        <f>ROUND(R304*(R12)/100,2)</f>
        <v>8598.7199999999993</v>
      </c>
      <c r="GL304">
        <f t="shared" ref="GL304:GL312" si="239">ROUND(IF(AND(BH304=3,BI304=3,FS304&lt;&gt;0),P304,0),2)</f>
        <v>0</v>
      </c>
      <c r="GM304">
        <f>ROUND(O304+X304+Y304+GK304,2)+GX304</f>
        <v>29271.69</v>
      </c>
      <c r="GN304">
        <f>IF(OR(BI304=0,BI304=1),ROUND(O304+X304+Y304+GK304,2),0)</f>
        <v>0</v>
      </c>
      <c r="GO304">
        <f>IF(BI304=2,ROUND(O304+X304+Y304+GK304,2),0)</f>
        <v>0</v>
      </c>
      <c r="GP304">
        <f>IF(BI304=4,ROUND(O304+X304+Y304+GK304,2)+GX304,0)</f>
        <v>29271.69</v>
      </c>
      <c r="GR304">
        <v>0</v>
      </c>
      <c r="GS304">
        <v>3</v>
      </c>
      <c r="GT304">
        <v>0</v>
      </c>
      <c r="GU304" t="s">
        <v>3</v>
      </c>
      <c r="GV304">
        <f t="shared" ref="GV304:GV312" si="240">ROUND(GT304,6)</f>
        <v>0</v>
      </c>
      <c r="GW304">
        <v>1</v>
      </c>
      <c r="GX304">
        <f t="shared" ref="GX304:GX312" si="241">ROUND(GV304*GW304*I304,2)</f>
        <v>0</v>
      </c>
      <c r="HA304">
        <v>0</v>
      </c>
      <c r="HB304">
        <v>0</v>
      </c>
      <c r="IK304">
        <v>0</v>
      </c>
    </row>
    <row r="305" spans="1:245" x14ac:dyDescent="0.2">
      <c r="A305">
        <v>17</v>
      </c>
      <c r="B305">
        <v>1</v>
      </c>
      <c r="C305">
        <f>ROW(SmtRes!A169)</f>
        <v>169</v>
      </c>
      <c r="D305">
        <f>ROW(EtalonRes!A169)</f>
        <v>169</v>
      </c>
      <c r="E305" t="s">
        <v>181</v>
      </c>
      <c r="F305" t="s">
        <v>113</v>
      </c>
      <c r="G305" t="s">
        <v>114</v>
      </c>
      <c r="H305" t="s">
        <v>115</v>
      </c>
      <c r="I305">
        <v>125.587</v>
      </c>
      <c r="J305">
        <v>0</v>
      </c>
      <c r="O305">
        <f t="shared" si="214"/>
        <v>7068.04</v>
      </c>
      <c r="P305">
        <f t="shared" si="215"/>
        <v>0</v>
      </c>
      <c r="Q305">
        <f t="shared" si="216"/>
        <v>7068.04</v>
      </c>
      <c r="R305">
        <f t="shared" si="217"/>
        <v>5252.05</v>
      </c>
      <c r="S305">
        <f t="shared" si="218"/>
        <v>0</v>
      </c>
      <c r="T305">
        <f t="shared" si="219"/>
        <v>0</v>
      </c>
      <c r="U305">
        <f t="shared" si="220"/>
        <v>0</v>
      </c>
      <c r="V305">
        <f t="shared" si="221"/>
        <v>0</v>
      </c>
      <c r="W305">
        <f t="shared" si="222"/>
        <v>0</v>
      </c>
      <c r="X305">
        <f t="shared" si="223"/>
        <v>0</v>
      </c>
      <c r="Y305">
        <f t="shared" si="224"/>
        <v>0</v>
      </c>
      <c r="AA305">
        <v>37598633</v>
      </c>
      <c r="AB305">
        <f t="shared" si="225"/>
        <v>56.28</v>
      </c>
      <c r="AC305">
        <f>ROUND((ES305),6)</f>
        <v>0</v>
      </c>
      <c r="AD305">
        <f>ROUND((((ET305)-(EU305))+AE305),6)</f>
        <v>56.28</v>
      </c>
      <c r="AE305">
        <f>ROUND((EU305),6)</f>
        <v>41.82</v>
      </c>
      <c r="AF305">
        <f>ROUND((EV305),6)</f>
        <v>0</v>
      </c>
      <c r="AG305">
        <f t="shared" si="226"/>
        <v>0</v>
      </c>
      <c r="AH305">
        <f>(EW305)</f>
        <v>0</v>
      </c>
      <c r="AI305">
        <f>(EX305)</f>
        <v>0</v>
      </c>
      <c r="AJ305">
        <f t="shared" si="227"/>
        <v>0</v>
      </c>
      <c r="AK305">
        <v>56.28</v>
      </c>
      <c r="AL305">
        <v>0</v>
      </c>
      <c r="AM305">
        <v>56.28</v>
      </c>
      <c r="AN305">
        <v>41.82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1</v>
      </c>
      <c r="AW305">
        <v>1</v>
      </c>
      <c r="AZ305">
        <v>1</v>
      </c>
      <c r="BA305">
        <v>1</v>
      </c>
      <c r="BB305">
        <v>1</v>
      </c>
      <c r="BC305">
        <v>1</v>
      </c>
      <c r="BD305" t="s">
        <v>3</v>
      </c>
      <c r="BE305" t="s">
        <v>3</v>
      </c>
      <c r="BF305" t="s">
        <v>3</v>
      </c>
      <c r="BG305" t="s">
        <v>3</v>
      </c>
      <c r="BH305">
        <v>0</v>
      </c>
      <c r="BI305">
        <v>4</v>
      </c>
      <c r="BJ305" t="s">
        <v>116</v>
      </c>
      <c r="BM305">
        <v>1</v>
      </c>
      <c r="BN305">
        <v>0</v>
      </c>
      <c r="BO305" t="s">
        <v>3</v>
      </c>
      <c r="BP305">
        <v>0</v>
      </c>
      <c r="BQ305">
        <v>1</v>
      </c>
      <c r="BR305">
        <v>0</v>
      </c>
      <c r="BS305">
        <v>1</v>
      </c>
      <c r="BT305">
        <v>1</v>
      </c>
      <c r="BU305">
        <v>1</v>
      </c>
      <c r="BV305">
        <v>1</v>
      </c>
      <c r="BW305">
        <v>1</v>
      </c>
      <c r="BX305">
        <v>1</v>
      </c>
      <c r="BY305" t="s">
        <v>3</v>
      </c>
      <c r="BZ305">
        <v>0</v>
      </c>
      <c r="CA305">
        <v>0</v>
      </c>
      <c r="CF305">
        <v>0</v>
      </c>
      <c r="CG305">
        <v>0</v>
      </c>
      <c r="CM305">
        <v>0</v>
      </c>
      <c r="CN305" t="s">
        <v>3</v>
      </c>
      <c r="CO305">
        <v>0</v>
      </c>
      <c r="CP305">
        <f t="shared" si="228"/>
        <v>7068.04</v>
      </c>
      <c r="CQ305">
        <f t="shared" si="229"/>
        <v>0</v>
      </c>
      <c r="CR305">
        <f>((((ET305)*BB305-(EU305)*BS305)+AE305*BS305)*AV305)</f>
        <v>56.28</v>
      </c>
      <c r="CS305">
        <f t="shared" si="230"/>
        <v>41.82</v>
      </c>
      <c r="CT305">
        <f t="shared" si="231"/>
        <v>0</v>
      </c>
      <c r="CU305">
        <f t="shared" si="232"/>
        <v>0</v>
      </c>
      <c r="CV305">
        <f t="shared" si="233"/>
        <v>0</v>
      </c>
      <c r="CW305">
        <f t="shared" si="234"/>
        <v>0</v>
      </c>
      <c r="CX305">
        <f t="shared" si="235"/>
        <v>0</v>
      </c>
      <c r="CY305">
        <f t="shared" si="236"/>
        <v>0</v>
      </c>
      <c r="CZ305">
        <f t="shared" si="237"/>
        <v>0</v>
      </c>
      <c r="DC305" t="s">
        <v>3</v>
      </c>
      <c r="DD305" t="s">
        <v>3</v>
      </c>
      <c r="DE305" t="s">
        <v>3</v>
      </c>
      <c r="DF305" t="s">
        <v>3</v>
      </c>
      <c r="DG305" t="s">
        <v>3</v>
      </c>
      <c r="DH305" t="s">
        <v>3</v>
      </c>
      <c r="DI305" t="s">
        <v>3</v>
      </c>
      <c r="DJ305" t="s">
        <v>3</v>
      </c>
      <c r="DK305" t="s">
        <v>3</v>
      </c>
      <c r="DL305" t="s">
        <v>3</v>
      </c>
      <c r="DM305" t="s">
        <v>3</v>
      </c>
      <c r="DN305">
        <v>0</v>
      </c>
      <c r="DO305">
        <v>0</v>
      </c>
      <c r="DP305">
        <v>1</v>
      </c>
      <c r="DQ305">
        <v>1</v>
      </c>
      <c r="DU305">
        <v>1007</v>
      </c>
      <c r="DV305" t="s">
        <v>115</v>
      </c>
      <c r="DW305" t="s">
        <v>115</v>
      </c>
      <c r="DX305">
        <v>1</v>
      </c>
      <c r="EE305">
        <v>34176750</v>
      </c>
      <c r="EF305">
        <v>1</v>
      </c>
      <c r="EG305" t="s">
        <v>19</v>
      </c>
      <c r="EH305">
        <v>0</v>
      </c>
      <c r="EI305" t="s">
        <v>3</v>
      </c>
      <c r="EJ305">
        <v>4</v>
      </c>
      <c r="EK305">
        <v>1</v>
      </c>
      <c r="EL305" t="s">
        <v>35</v>
      </c>
      <c r="EM305" t="s">
        <v>21</v>
      </c>
      <c r="EO305" t="s">
        <v>3</v>
      </c>
      <c r="EQ305">
        <v>0</v>
      </c>
      <c r="ER305">
        <v>56.28</v>
      </c>
      <c r="ES305">
        <v>0</v>
      </c>
      <c r="ET305">
        <v>56.28</v>
      </c>
      <c r="EU305">
        <v>41.82</v>
      </c>
      <c r="EV305">
        <v>0</v>
      </c>
      <c r="EW305">
        <v>0</v>
      </c>
      <c r="EX305">
        <v>0</v>
      </c>
      <c r="EY305">
        <v>0</v>
      </c>
      <c r="FQ305">
        <v>0</v>
      </c>
      <c r="FR305">
        <f t="shared" si="238"/>
        <v>0</v>
      </c>
      <c r="FS305">
        <v>0</v>
      </c>
      <c r="FX305">
        <v>0</v>
      </c>
      <c r="FY305">
        <v>0</v>
      </c>
      <c r="GA305" t="s">
        <v>3</v>
      </c>
      <c r="GD305">
        <v>1</v>
      </c>
      <c r="GF305">
        <v>-636474766</v>
      </c>
      <c r="GG305">
        <v>2</v>
      </c>
      <c r="GH305">
        <v>1</v>
      </c>
      <c r="GI305">
        <v>-2</v>
      </c>
      <c r="GJ305">
        <v>0</v>
      </c>
      <c r="GK305">
        <v>0</v>
      </c>
      <c r="GL305">
        <f t="shared" si="239"/>
        <v>0</v>
      </c>
      <c r="GM305">
        <f>ROUND(O305+X305+Y305,2)+GX305</f>
        <v>7068.04</v>
      </c>
      <c r="GN305">
        <f>IF(OR(BI305=0,BI305=1),ROUND(O305+X305+Y305,2),0)</f>
        <v>0</v>
      </c>
      <c r="GO305">
        <f>IF(BI305=2,ROUND(O305+X305+Y305,2),0)</f>
        <v>0</v>
      </c>
      <c r="GP305">
        <f>IF(BI305=4,ROUND(O305+X305+Y305,2)+GX305,0)</f>
        <v>7068.04</v>
      </c>
      <c r="GR305">
        <v>0</v>
      </c>
      <c r="GS305">
        <v>3</v>
      </c>
      <c r="GT305">
        <v>0</v>
      </c>
      <c r="GU305" t="s">
        <v>3</v>
      </c>
      <c r="GV305">
        <f t="shared" si="240"/>
        <v>0</v>
      </c>
      <c r="GW305">
        <v>1</v>
      </c>
      <c r="GX305">
        <f t="shared" si="241"/>
        <v>0</v>
      </c>
      <c r="HA305">
        <v>0</v>
      </c>
      <c r="HB305">
        <v>0</v>
      </c>
      <c r="IK305">
        <v>0</v>
      </c>
    </row>
    <row r="306" spans="1:245" x14ac:dyDescent="0.2">
      <c r="A306">
        <v>17</v>
      </c>
      <c r="B306">
        <v>1</v>
      </c>
      <c r="C306">
        <f>ROW(SmtRes!A170)</f>
        <v>170</v>
      </c>
      <c r="D306">
        <f>ROW(EtalonRes!A170)</f>
        <v>170</v>
      </c>
      <c r="E306" t="s">
        <v>182</v>
      </c>
      <c r="F306" t="s">
        <v>118</v>
      </c>
      <c r="G306" t="s">
        <v>119</v>
      </c>
      <c r="H306" t="s">
        <v>115</v>
      </c>
      <c r="I306">
        <f>ROUND(I305,9)</f>
        <v>125.587</v>
      </c>
      <c r="J306">
        <v>0</v>
      </c>
      <c r="O306">
        <f t="shared" si="214"/>
        <v>59297.16</v>
      </c>
      <c r="P306">
        <f t="shared" si="215"/>
        <v>0</v>
      </c>
      <c r="Q306">
        <f t="shared" si="216"/>
        <v>59297.16</v>
      </c>
      <c r="R306">
        <f t="shared" si="217"/>
        <v>44048.38</v>
      </c>
      <c r="S306">
        <f t="shared" si="218"/>
        <v>0</v>
      </c>
      <c r="T306">
        <f t="shared" si="219"/>
        <v>0</v>
      </c>
      <c r="U306">
        <f t="shared" si="220"/>
        <v>0</v>
      </c>
      <c r="V306">
        <f t="shared" si="221"/>
        <v>0</v>
      </c>
      <c r="W306">
        <f t="shared" si="222"/>
        <v>0</v>
      </c>
      <c r="X306">
        <f t="shared" si="223"/>
        <v>0</v>
      </c>
      <c r="Y306">
        <f t="shared" si="224"/>
        <v>0</v>
      </c>
      <c r="AA306">
        <v>37598633</v>
      </c>
      <c r="AB306">
        <f t="shared" si="225"/>
        <v>472.16</v>
      </c>
      <c r="AC306">
        <f>ROUND((ES306),6)</f>
        <v>0</v>
      </c>
      <c r="AD306">
        <f>ROUND(((((ET306*26))-((EU306*26)))+AE306),6)</f>
        <v>472.16</v>
      </c>
      <c r="AE306">
        <f>ROUND(((EU306*26)),6)</f>
        <v>350.74</v>
      </c>
      <c r="AF306">
        <f>ROUND(((EV306*26)),6)</f>
        <v>0</v>
      </c>
      <c r="AG306">
        <f t="shared" si="226"/>
        <v>0</v>
      </c>
      <c r="AH306">
        <f>((EW306*26))</f>
        <v>0</v>
      </c>
      <c r="AI306">
        <f>((EX306*26))</f>
        <v>0</v>
      </c>
      <c r="AJ306">
        <f t="shared" si="227"/>
        <v>0</v>
      </c>
      <c r="AK306">
        <v>18.16</v>
      </c>
      <c r="AL306">
        <v>0</v>
      </c>
      <c r="AM306">
        <v>18.16</v>
      </c>
      <c r="AN306">
        <v>13.49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1</v>
      </c>
      <c r="AW306">
        <v>1</v>
      </c>
      <c r="AZ306">
        <v>1</v>
      </c>
      <c r="BA306">
        <v>1</v>
      </c>
      <c r="BB306">
        <v>1</v>
      </c>
      <c r="BC306">
        <v>1</v>
      </c>
      <c r="BD306" t="s">
        <v>3</v>
      </c>
      <c r="BE306" t="s">
        <v>3</v>
      </c>
      <c r="BF306" t="s">
        <v>3</v>
      </c>
      <c r="BG306" t="s">
        <v>3</v>
      </c>
      <c r="BH306">
        <v>0</v>
      </c>
      <c r="BI306">
        <v>4</v>
      </c>
      <c r="BJ306" t="s">
        <v>120</v>
      </c>
      <c r="BM306">
        <v>1</v>
      </c>
      <c r="BN306">
        <v>0</v>
      </c>
      <c r="BO306" t="s">
        <v>3</v>
      </c>
      <c r="BP306">
        <v>0</v>
      </c>
      <c r="BQ306">
        <v>1</v>
      </c>
      <c r="BR306">
        <v>0</v>
      </c>
      <c r="BS306">
        <v>1</v>
      </c>
      <c r="BT306">
        <v>1</v>
      </c>
      <c r="BU306">
        <v>1</v>
      </c>
      <c r="BV306">
        <v>1</v>
      </c>
      <c r="BW306">
        <v>1</v>
      </c>
      <c r="BX306">
        <v>1</v>
      </c>
      <c r="BY306" t="s">
        <v>3</v>
      </c>
      <c r="BZ306">
        <v>0</v>
      </c>
      <c r="CA306">
        <v>0</v>
      </c>
      <c r="CF306">
        <v>0</v>
      </c>
      <c r="CG306">
        <v>0</v>
      </c>
      <c r="CM306">
        <v>0</v>
      </c>
      <c r="CN306" t="s">
        <v>3</v>
      </c>
      <c r="CO306">
        <v>0</v>
      </c>
      <c r="CP306">
        <f t="shared" si="228"/>
        <v>59297.16</v>
      </c>
      <c r="CQ306">
        <f t="shared" si="229"/>
        <v>0</v>
      </c>
      <c r="CR306">
        <f>(((((ET306*26))*BB306-((EU306*26))*BS306)+AE306*BS306)*AV306)</f>
        <v>472.16</v>
      </c>
      <c r="CS306">
        <f t="shared" si="230"/>
        <v>350.74</v>
      </c>
      <c r="CT306">
        <f t="shared" si="231"/>
        <v>0</v>
      </c>
      <c r="CU306">
        <f t="shared" si="232"/>
        <v>0</v>
      </c>
      <c r="CV306">
        <f t="shared" si="233"/>
        <v>0</v>
      </c>
      <c r="CW306">
        <f t="shared" si="234"/>
        <v>0</v>
      </c>
      <c r="CX306">
        <f t="shared" si="235"/>
        <v>0</v>
      </c>
      <c r="CY306">
        <f t="shared" si="236"/>
        <v>0</v>
      </c>
      <c r="CZ306">
        <f t="shared" si="237"/>
        <v>0</v>
      </c>
      <c r="DC306" t="s">
        <v>3</v>
      </c>
      <c r="DD306" t="s">
        <v>3</v>
      </c>
      <c r="DE306" t="s">
        <v>121</v>
      </c>
      <c r="DF306" t="s">
        <v>121</v>
      </c>
      <c r="DG306" t="s">
        <v>121</v>
      </c>
      <c r="DH306" t="s">
        <v>3</v>
      </c>
      <c r="DI306" t="s">
        <v>121</v>
      </c>
      <c r="DJ306" t="s">
        <v>121</v>
      </c>
      <c r="DK306" t="s">
        <v>3</v>
      </c>
      <c r="DL306" t="s">
        <v>3</v>
      </c>
      <c r="DM306" t="s">
        <v>3</v>
      </c>
      <c r="DN306">
        <v>0</v>
      </c>
      <c r="DO306">
        <v>0</v>
      </c>
      <c r="DP306">
        <v>1</v>
      </c>
      <c r="DQ306">
        <v>1</v>
      </c>
      <c r="DU306">
        <v>1007</v>
      </c>
      <c r="DV306" t="s">
        <v>115</v>
      </c>
      <c r="DW306" t="s">
        <v>115</v>
      </c>
      <c r="DX306">
        <v>1</v>
      </c>
      <c r="EE306">
        <v>34176750</v>
      </c>
      <c r="EF306">
        <v>1</v>
      </c>
      <c r="EG306" t="s">
        <v>19</v>
      </c>
      <c r="EH306">
        <v>0</v>
      </c>
      <c r="EI306" t="s">
        <v>3</v>
      </c>
      <c r="EJ306">
        <v>4</v>
      </c>
      <c r="EK306">
        <v>1</v>
      </c>
      <c r="EL306" t="s">
        <v>35</v>
      </c>
      <c r="EM306" t="s">
        <v>21</v>
      </c>
      <c r="EO306" t="s">
        <v>3</v>
      </c>
      <c r="EQ306">
        <v>0</v>
      </c>
      <c r="ER306">
        <v>18.16</v>
      </c>
      <c r="ES306">
        <v>0</v>
      </c>
      <c r="ET306">
        <v>18.16</v>
      </c>
      <c r="EU306">
        <v>13.49</v>
      </c>
      <c r="EV306">
        <v>0</v>
      </c>
      <c r="EW306">
        <v>0</v>
      </c>
      <c r="EX306">
        <v>0</v>
      </c>
      <c r="EY306">
        <v>0</v>
      </c>
      <c r="FQ306">
        <v>0</v>
      </c>
      <c r="FR306">
        <f t="shared" si="238"/>
        <v>0</v>
      </c>
      <c r="FS306">
        <v>0</v>
      </c>
      <c r="FX306">
        <v>0</v>
      </c>
      <c r="FY306">
        <v>0</v>
      </c>
      <c r="GA306" t="s">
        <v>3</v>
      </c>
      <c r="GD306">
        <v>1</v>
      </c>
      <c r="GF306">
        <v>-514901743</v>
      </c>
      <c r="GG306">
        <v>2</v>
      </c>
      <c r="GH306">
        <v>1</v>
      </c>
      <c r="GI306">
        <v>-2</v>
      </c>
      <c r="GJ306">
        <v>0</v>
      </c>
      <c r="GK306">
        <v>0</v>
      </c>
      <c r="GL306">
        <f t="shared" si="239"/>
        <v>0</v>
      </c>
      <c r="GM306">
        <f>ROUND(O306+X306+Y306,2)+GX306</f>
        <v>59297.16</v>
      </c>
      <c r="GN306">
        <f>IF(OR(BI306=0,BI306=1),ROUND(O306+X306+Y306,2),0)</f>
        <v>0</v>
      </c>
      <c r="GO306">
        <f>IF(BI306=2,ROUND(O306+X306+Y306,2),0)</f>
        <v>0</v>
      </c>
      <c r="GP306">
        <f>IF(BI306=4,ROUND(O306+X306+Y306,2)+GX306,0)</f>
        <v>59297.16</v>
      </c>
      <c r="GR306">
        <v>0</v>
      </c>
      <c r="GS306">
        <v>3</v>
      </c>
      <c r="GT306">
        <v>0</v>
      </c>
      <c r="GU306" t="s">
        <v>3</v>
      </c>
      <c r="GV306">
        <f t="shared" si="240"/>
        <v>0</v>
      </c>
      <c r="GW306">
        <v>1</v>
      </c>
      <c r="GX306">
        <f t="shared" si="241"/>
        <v>0</v>
      </c>
      <c r="HA306">
        <v>0</v>
      </c>
      <c r="HB306">
        <v>0</v>
      </c>
      <c r="IK306">
        <v>0</v>
      </c>
    </row>
    <row r="307" spans="1:245" x14ac:dyDescent="0.2">
      <c r="A307">
        <v>17</v>
      </c>
      <c r="B307">
        <v>1</v>
      </c>
      <c r="C307">
        <f>ROW(SmtRes!A178)</f>
        <v>178</v>
      </c>
      <c r="D307">
        <f>ROW(EtalonRes!A178)</f>
        <v>178</v>
      </c>
      <c r="E307" t="s">
        <v>183</v>
      </c>
      <c r="F307" t="s">
        <v>42</v>
      </c>
      <c r="G307" t="s">
        <v>43</v>
      </c>
      <c r="H307" t="s">
        <v>17</v>
      </c>
      <c r="I307">
        <f>ROUND(1099*0.1/100,9)</f>
        <v>1.099</v>
      </c>
      <c r="J307">
        <v>0</v>
      </c>
      <c r="O307">
        <f t="shared" si="214"/>
        <v>78458.039999999994</v>
      </c>
      <c r="P307">
        <f t="shared" si="215"/>
        <v>67763.41</v>
      </c>
      <c r="Q307">
        <f t="shared" si="216"/>
        <v>7883.73</v>
      </c>
      <c r="R307">
        <f t="shared" si="217"/>
        <v>2933.93</v>
      </c>
      <c r="S307">
        <f t="shared" si="218"/>
        <v>2810.9</v>
      </c>
      <c r="T307">
        <f t="shared" si="219"/>
        <v>0</v>
      </c>
      <c r="U307">
        <f t="shared" si="220"/>
        <v>18.199439999999999</v>
      </c>
      <c r="V307">
        <f t="shared" si="221"/>
        <v>0</v>
      </c>
      <c r="W307">
        <f t="shared" si="222"/>
        <v>0</v>
      </c>
      <c r="X307">
        <f t="shared" si="223"/>
        <v>1967.63</v>
      </c>
      <c r="Y307">
        <f t="shared" si="224"/>
        <v>281.08999999999997</v>
      </c>
      <c r="AA307">
        <v>37598633</v>
      </c>
      <c r="AB307">
        <f t="shared" si="225"/>
        <v>71390.39</v>
      </c>
      <c r="AC307">
        <f>ROUND((ES307),6)</f>
        <v>61659.15</v>
      </c>
      <c r="AD307">
        <f t="shared" ref="AD307:AD312" si="242">ROUND((((ET307)-(EU307))+AE307),6)</f>
        <v>7173.55</v>
      </c>
      <c r="AE307">
        <f t="shared" ref="AE307:AF312" si="243">ROUND((EU307),6)</f>
        <v>2669.64</v>
      </c>
      <c r="AF307">
        <f t="shared" si="243"/>
        <v>2557.69</v>
      </c>
      <c r="AG307">
        <f t="shared" si="226"/>
        <v>0</v>
      </c>
      <c r="AH307">
        <f t="shared" ref="AH307:AI312" si="244">(EW307)</f>
        <v>16.559999999999999</v>
      </c>
      <c r="AI307">
        <f t="shared" si="244"/>
        <v>0</v>
      </c>
      <c r="AJ307">
        <f t="shared" si="227"/>
        <v>0</v>
      </c>
      <c r="AK307">
        <v>71390.39</v>
      </c>
      <c r="AL307">
        <v>61659.15</v>
      </c>
      <c r="AM307">
        <v>7173.55</v>
      </c>
      <c r="AN307">
        <v>2669.64</v>
      </c>
      <c r="AO307">
        <v>2557.69</v>
      </c>
      <c r="AP307">
        <v>0</v>
      </c>
      <c r="AQ307">
        <v>16.559999999999999</v>
      </c>
      <c r="AR307">
        <v>0</v>
      </c>
      <c r="AS307">
        <v>0</v>
      </c>
      <c r="AT307">
        <v>70</v>
      </c>
      <c r="AU307">
        <v>10</v>
      </c>
      <c r="AV307">
        <v>1</v>
      </c>
      <c r="AW307">
        <v>1</v>
      </c>
      <c r="AZ307">
        <v>1</v>
      </c>
      <c r="BA307">
        <v>1</v>
      </c>
      <c r="BB307">
        <v>1</v>
      </c>
      <c r="BC307">
        <v>1</v>
      </c>
      <c r="BD307" t="s">
        <v>3</v>
      </c>
      <c r="BE307" t="s">
        <v>3</v>
      </c>
      <c r="BF307" t="s">
        <v>3</v>
      </c>
      <c r="BG307" t="s">
        <v>3</v>
      </c>
      <c r="BH307">
        <v>0</v>
      </c>
      <c r="BI307">
        <v>4</v>
      </c>
      <c r="BJ307" t="s">
        <v>44</v>
      </c>
      <c r="BM307">
        <v>0</v>
      </c>
      <c r="BN307">
        <v>0</v>
      </c>
      <c r="BO307" t="s">
        <v>3</v>
      </c>
      <c r="BP307">
        <v>0</v>
      </c>
      <c r="BQ307">
        <v>1</v>
      </c>
      <c r="BR307">
        <v>0</v>
      </c>
      <c r="BS307">
        <v>1</v>
      </c>
      <c r="BT307">
        <v>1</v>
      </c>
      <c r="BU307">
        <v>1</v>
      </c>
      <c r="BV307">
        <v>1</v>
      </c>
      <c r="BW307">
        <v>1</v>
      </c>
      <c r="BX307">
        <v>1</v>
      </c>
      <c r="BY307" t="s">
        <v>3</v>
      </c>
      <c r="BZ307">
        <v>70</v>
      </c>
      <c r="CA307">
        <v>10</v>
      </c>
      <c r="CF307">
        <v>0</v>
      </c>
      <c r="CG307">
        <v>0</v>
      </c>
      <c r="CM307">
        <v>0</v>
      </c>
      <c r="CN307" t="s">
        <v>3</v>
      </c>
      <c r="CO307">
        <v>0</v>
      </c>
      <c r="CP307">
        <f t="shared" si="228"/>
        <v>78458.039999999994</v>
      </c>
      <c r="CQ307">
        <f t="shared" si="229"/>
        <v>61659.15</v>
      </c>
      <c r="CR307">
        <f t="shared" ref="CR307:CR312" si="245">((((ET307)*BB307-(EU307)*BS307)+AE307*BS307)*AV307)</f>
        <v>7173.5499999999993</v>
      </c>
      <c r="CS307">
        <f t="shared" si="230"/>
        <v>2669.64</v>
      </c>
      <c r="CT307">
        <f t="shared" si="231"/>
        <v>2557.69</v>
      </c>
      <c r="CU307">
        <f t="shared" si="232"/>
        <v>0</v>
      </c>
      <c r="CV307">
        <f t="shared" si="233"/>
        <v>16.559999999999999</v>
      </c>
      <c r="CW307">
        <f t="shared" si="234"/>
        <v>0</v>
      </c>
      <c r="CX307">
        <f t="shared" si="235"/>
        <v>0</v>
      </c>
      <c r="CY307">
        <f t="shared" si="236"/>
        <v>1967.63</v>
      </c>
      <c r="CZ307">
        <f t="shared" si="237"/>
        <v>281.08999999999997</v>
      </c>
      <c r="DC307" t="s">
        <v>3</v>
      </c>
      <c r="DD307" t="s">
        <v>3</v>
      </c>
      <c r="DE307" t="s">
        <v>3</v>
      </c>
      <c r="DF307" t="s">
        <v>3</v>
      </c>
      <c r="DG307" t="s">
        <v>3</v>
      </c>
      <c r="DH307" t="s">
        <v>3</v>
      </c>
      <c r="DI307" t="s">
        <v>3</v>
      </c>
      <c r="DJ307" t="s">
        <v>3</v>
      </c>
      <c r="DK307" t="s">
        <v>3</v>
      </c>
      <c r="DL307" t="s">
        <v>3</v>
      </c>
      <c r="DM307" t="s">
        <v>3</v>
      </c>
      <c r="DN307">
        <v>0</v>
      </c>
      <c r="DO307">
        <v>0</v>
      </c>
      <c r="DP307">
        <v>1</v>
      </c>
      <c r="DQ307">
        <v>1</v>
      </c>
      <c r="DU307">
        <v>1007</v>
      </c>
      <c r="DV307" t="s">
        <v>17</v>
      </c>
      <c r="DW307" t="s">
        <v>17</v>
      </c>
      <c r="DX307">
        <v>100</v>
      </c>
      <c r="EE307">
        <v>34176748</v>
      </c>
      <c r="EF307">
        <v>1</v>
      </c>
      <c r="EG307" t="s">
        <v>19</v>
      </c>
      <c r="EH307">
        <v>0</v>
      </c>
      <c r="EI307" t="s">
        <v>3</v>
      </c>
      <c r="EJ307">
        <v>4</v>
      </c>
      <c r="EK307">
        <v>0</v>
      </c>
      <c r="EL307" t="s">
        <v>20</v>
      </c>
      <c r="EM307" t="s">
        <v>21</v>
      </c>
      <c r="EO307" t="s">
        <v>3</v>
      </c>
      <c r="EQ307">
        <v>0</v>
      </c>
      <c r="ER307">
        <v>71390.39</v>
      </c>
      <c r="ES307">
        <v>61659.15</v>
      </c>
      <c r="ET307">
        <v>7173.55</v>
      </c>
      <c r="EU307">
        <v>2669.64</v>
      </c>
      <c r="EV307">
        <v>2557.69</v>
      </c>
      <c r="EW307">
        <v>16.559999999999999</v>
      </c>
      <c r="EX307">
        <v>0</v>
      </c>
      <c r="EY307">
        <v>0</v>
      </c>
      <c r="FQ307">
        <v>0</v>
      </c>
      <c r="FR307">
        <f t="shared" si="238"/>
        <v>0</v>
      </c>
      <c r="FS307">
        <v>0</v>
      </c>
      <c r="FX307">
        <v>70</v>
      </c>
      <c r="FY307">
        <v>10</v>
      </c>
      <c r="GA307" t="s">
        <v>3</v>
      </c>
      <c r="GD307">
        <v>0</v>
      </c>
      <c r="GF307">
        <v>-1632936602</v>
      </c>
      <c r="GG307">
        <v>2</v>
      </c>
      <c r="GH307">
        <v>1</v>
      </c>
      <c r="GI307">
        <v>-2</v>
      </c>
      <c r="GJ307">
        <v>0</v>
      </c>
      <c r="GK307">
        <f>ROUND(R307*(R12)/100,2)</f>
        <v>3168.64</v>
      </c>
      <c r="GL307">
        <f t="shared" si="239"/>
        <v>0</v>
      </c>
      <c r="GM307">
        <f t="shared" ref="GM307:GM312" si="246">ROUND(O307+X307+Y307+GK307,2)+GX307</f>
        <v>83875.399999999994</v>
      </c>
      <c r="GN307">
        <f t="shared" ref="GN307:GN312" si="247">IF(OR(BI307=0,BI307=1),ROUND(O307+X307+Y307+GK307,2),0)</f>
        <v>0</v>
      </c>
      <c r="GO307">
        <f t="shared" ref="GO307:GO312" si="248">IF(BI307=2,ROUND(O307+X307+Y307+GK307,2),0)</f>
        <v>0</v>
      </c>
      <c r="GP307">
        <f t="shared" ref="GP307:GP312" si="249">IF(BI307=4,ROUND(O307+X307+Y307+GK307,2)+GX307,0)</f>
        <v>83875.399999999994</v>
      </c>
      <c r="GR307">
        <v>0</v>
      </c>
      <c r="GS307">
        <v>3</v>
      </c>
      <c r="GT307">
        <v>0</v>
      </c>
      <c r="GU307" t="s">
        <v>3</v>
      </c>
      <c r="GV307">
        <f t="shared" si="240"/>
        <v>0</v>
      </c>
      <c r="GW307">
        <v>1</v>
      </c>
      <c r="GX307">
        <f t="shared" si="241"/>
        <v>0</v>
      </c>
      <c r="HA307">
        <v>0</v>
      </c>
      <c r="HB307">
        <v>0</v>
      </c>
      <c r="IK307">
        <v>0</v>
      </c>
    </row>
    <row r="308" spans="1:245" x14ac:dyDescent="0.2">
      <c r="A308">
        <v>17</v>
      </c>
      <c r="B308">
        <v>1</v>
      </c>
      <c r="C308">
        <f>ROW(SmtRes!A187)</f>
        <v>187</v>
      </c>
      <c r="D308">
        <f>ROW(EtalonRes!A187)</f>
        <v>187</v>
      </c>
      <c r="E308" t="s">
        <v>184</v>
      </c>
      <c r="F308" t="s">
        <v>46</v>
      </c>
      <c r="G308" t="s">
        <v>47</v>
      </c>
      <c r="H308" t="s">
        <v>17</v>
      </c>
      <c r="I308">
        <f>ROUND(I307,9)</f>
        <v>1.099</v>
      </c>
      <c r="J308">
        <v>0</v>
      </c>
      <c r="O308">
        <f t="shared" si="214"/>
        <v>316648.46000000002</v>
      </c>
      <c r="P308">
        <f t="shared" si="215"/>
        <v>264842.37</v>
      </c>
      <c r="Q308">
        <f t="shared" si="216"/>
        <v>47589.73</v>
      </c>
      <c r="R308">
        <f t="shared" si="217"/>
        <v>17467.91</v>
      </c>
      <c r="S308">
        <f t="shared" si="218"/>
        <v>4216.3599999999997</v>
      </c>
      <c r="T308">
        <f t="shared" si="219"/>
        <v>0</v>
      </c>
      <c r="U308">
        <f t="shared" si="220"/>
        <v>27.299160000000001</v>
      </c>
      <c r="V308">
        <f t="shared" si="221"/>
        <v>0</v>
      </c>
      <c r="W308">
        <f t="shared" si="222"/>
        <v>0</v>
      </c>
      <c r="X308">
        <f t="shared" si="223"/>
        <v>2951.45</v>
      </c>
      <c r="Y308">
        <f t="shared" si="224"/>
        <v>421.64</v>
      </c>
      <c r="AA308">
        <v>37598633</v>
      </c>
      <c r="AB308">
        <f t="shared" si="225"/>
        <v>288124.17</v>
      </c>
      <c r="AC308">
        <f>ROUND((ES308),6)</f>
        <v>240984.87</v>
      </c>
      <c r="AD308">
        <f t="shared" si="242"/>
        <v>43302.76</v>
      </c>
      <c r="AE308">
        <f t="shared" si="243"/>
        <v>15894.37</v>
      </c>
      <c r="AF308">
        <f t="shared" si="243"/>
        <v>3836.54</v>
      </c>
      <c r="AG308">
        <f t="shared" si="226"/>
        <v>0</v>
      </c>
      <c r="AH308">
        <f t="shared" si="244"/>
        <v>24.84</v>
      </c>
      <c r="AI308">
        <f t="shared" si="244"/>
        <v>0</v>
      </c>
      <c r="AJ308">
        <f t="shared" si="227"/>
        <v>0</v>
      </c>
      <c r="AK308">
        <v>288124.17</v>
      </c>
      <c r="AL308">
        <v>240984.87</v>
      </c>
      <c r="AM308">
        <v>43302.76</v>
      </c>
      <c r="AN308">
        <v>15894.37</v>
      </c>
      <c r="AO308">
        <v>3836.54</v>
      </c>
      <c r="AP308">
        <v>0</v>
      </c>
      <c r="AQ308">
        <v>24.84</v>
      </c>
      <c r="AR308">
        <v>0</v>
      </c>
      <c r="AS308">
        <v>0</v>
      </c>
      <c r="AT308">
        <v>70</v>
      </c>
      <c r="AU308">
        <v>10</v>
      </c>
      <c r="AV308">
        <v>1</v>
      </c>
      <c r="AW308">
        <v>1</v>
      </c>
      <c r="AZ308">
        <v>1</v>
      </c>
      <c r="BA308">
        <v>1</v>
      </c>
      <c r="BB308">
        <v>1</v>
      </c>
      <c r="BC308">
        <v>1</v>
      </c>
      <c r="BD308" t="s">
        <v>3</v>
      </c>
      <c r="BE308" t="s">
        <v>3</v>
      </c>
      <c r="BF308" t="s">
        <v>3</v>
      </c>
      <c r="BG308" t="s">
        <v>3</v>
      </c>
      <c r="BH308">
        <v>0</v>
      </c>
      <c r="BI308">
        <v>4</v>
      </c>
      <c r="BJ308" t="s">
        <v>48</v>
      </c>
      <c r="BM308">
        <v>0</v>
      </c>
      <c r="BN308">
        <v>0</v>
      </c>
      <c r="BO308" t="s">
        <v>3</v>
      </c>
      <c r="BP308">
        <v>0</v>
      </c>
      <c r="BQ308">
        <v>1</v>
      </c>
      <c r="BR308">
        <v>0</v>
      </c>
      <c r="BS308">
        <v>1</v>
      </c>
      <c r="BT308">
        <v>1</v>
      </c>
      <c r="BU308">
        <v>1</v>
      </c>
      <c r="BV308">
        <v>1</v>
      </c>
      <c r="BW308">
        <v>1</v>
      </c>
      <c r="BX308">
        <v>1</v>
      </c>
      <c r="BY308" t="s">
        <v>3</v>
      </c>
      <c r="BZ308">
        <v>70</v>
      </c>
      <c r="CA308">
        <v>10</v>
      </c>
      <c r="CF308">
        <v>0</v>
      </c>
      <c r="CG308">
        <v>0</v>
      </c>
      <c r="CM308">
        <v>0</v>
      </c>
      <c r="CN308" t="s">
        <v>3</v>
      </c>
      <c r="CO308">
        <v>0</v>
      </c>
      <c r="CP308">
        <f t="shared" si="228"/>
        <v>316648.45999999996</v>
      </c>
      <c r="CQ308">
        <f t="shared" si="229"/>
        <v>240984.87</v>
      </c>
      <c r="CR308">
        <f t="shared" si="245"/>
        <v>43302.76</v>
      </c>
      <c r="CS308">
        <f t="shared" si="230"/>
        <v>15894.37</v>
      </c>
      <c r="CT308">
        <f t="shared" si="231"/>
        <v>3836.54</v>
      </c>
      <c r="CU308">
        <f t="shared" si="232"/>
        <v>0</v>
      </c>
      <c r="CV308">
        <f t="shared" si="233"/>
        <v>24.84</v>
      </c>
      <c r="CW308">
        <f t="shared" si="234"/>
        <v>0</v>
      </c>
      <c r="CX308">
        <f t="shared" si="235"/>
        <v>0</v>
      </c>
      <c r="CY308">
        <f t="shared" si="236"/>
        <v>2951.4519999999993</v>
      </c>
      <c r="CZ308">
        <f t="shared" si="237"/>
        <v>421.63599999999997</v>
      </c>
      <c r="DC308" t="s">
        <v>3</v>
      </c>
      <c r="DD308" t="s">
        <v>3</v>
      </c>
      <c r="DE308" t="s">
        <v>3</v>
      </c>
      <c r="DF308" t="s">
        <v>3</v>
      </c>
      <c r="DG308" t="s">
        <v>3</v>
      </c>
      <c r="DH308" t="s">
        <v>3</v>
      </c>
      <c r="DI308" t="s">
        <v>3</v>
      </c>
      <c r="DJ308" t="s">
        <v>3</v>
      </c>
      <c r="DK308" t="s">
        <v>3</v>
      </c>
      <c r="DL308" t="s">
        <v>3</v>
      </c>
      <c r="DM308" t="s">
        <v>3</v>
      </c>
      <c r="DN308">
        <v>0</v>
      </c>
      <c r="DO308">
        <v>0</v>
      </c>
      <c r="DP308">
        <v>1</v>
      </c>
      <c r="DQ308">
        <v>1</v>
      </c>
      <c r="DU308">
        <v>1007</v>
      </c>
      <c r="DV308" t="s">
        <v>17</v>
      </c>
      <c r="DW308" t="s">
        <v>17</v>
      </c>
      <c r="DX308">
        <v>100</v>
      </c>
      <c r="EE308">
        <v>34176748</v>
      </c>
      <c r="EF308">
        <v>1</v>
      </c>
      <c r="EG308" t="s">
        <v>19</v>
      </c>
      <c r="EH308">
        <v>0</v>
      </c>
      <c r="EI308" t="s">
        <v>3</v>
      </c>
      <c r="EJ308">
        <v>4</v>
      </c>
      <c r="EK308">
        <v>0</v>
      </c>
      <c r="EL308" t="s">
        <v>20</v>
      </c>
      <c r="EM308" t="s">
        <v>21</v>
      </c>
      <c r="EO308" t="s">
        <v>3</v>
      </c>
      <c r="EQ308">
        <v>0</v>
      </c>
      <c r="ER308">
        <v>288124.17</v>
      </c>
      <c r="ES308">
        <v>240984.87</v>
      </c>
      <c r="ET308">
        <v>43302.76</v>
      </c>
      <c r="EU308">
        <v>15894.37</v>
      </c>
      <c r="EV308">
        <v>3836.54</v>
      </c>
      <c r="EW308">
        <v>24.84</v>
      </c>
      <c r="EX308">
        <v>0</v>
      </c>
      <c r="EY308">
        <v>0</v>
      </c>
      <c r="FQ308">
        <v>0</v>
      </c>
      <c r="FR308">
        <f t="shared" si="238"/>
        <v>0</v>
      </c>
      <c r="FS308">
        <v>0</v>
      </c>
      <c r="FX308">
        <v>70</v>
      </c>
      <c r="FY308">
        <v>10</v>
      </c>
      <c r="GA308" t="s">
        <v>3</v>
      </c>
      <c r="GD308">
        <v>0</v>
      </c>
      <c r="GF308">
        <v>-2078164180</v>
      </c>
      <c r="GG308">
        <v>2</v>
      </c>
      <c r="GH308">
        <v>1</v>
      </c>
      <c r="GI308">
        <v>-2</v>
      </c>
      <c r="GJ308">
        <v>0</v>
      </c>
      <c r="GK308">
        <f>ROUND(R308*(R12)/100,2)</f>
        <v>18865.34</v>
      </c>
      <c r="GL308">
        <f t="shared" si="239"/>
        <v>0</v>
      </c>
      <c r="GM308">
        <f t="shared" si="246"/>
        <v>338886.89</v>
      </c>
      <c r="GN308">
        <f t="shared" si="247"/>
        <v>0</v>
      </c>
      <c r="GO308">
        <f t="shared" si="248"/>
        <v>0</v>
      </c>
      <c r="GP308">
        <f t="shared" si="249"/>
        <v>338886.89</v>
      </c>
      <c r="GR308">
        <v>0</v>
      </c>
      <c r="GS308">
        <v>3</v>
      </c>
      <c r="GT308">
        <v>0</v>
      </c>
      <c r="GU308" t="s">
        <v>3</v>
      </c>
      <c r="GV308">
        <f t="shared" si="240"/>
        <v>0</v>
      </c>
      <c r="GW308">
        <v>1</v>
      </c>
      <c r="GX308">
        <f t="shared" si="241"/>
        <v>0</v>
      </c>
      <c r="HA308">
        <v>0</v>
      </c>
      <c r="HB308">
        <v>0</v>
      </c>
      <c r="IK308">
        <v>0</v>
      </c>
    </row>
    <row r="309" spans="1:245" x14ac:dyDescent="0.2">
      <c r="A309">
        <v>17</v>
      </c>
      <c r="B309">
        <v>1</v>
      </c>
      <c r="C309">
        <f>ROW(SmtRes!A191)</f>
        <v>191</v>
      </c>
      <c r="D309">
        <f>ROW(EtalonRes!A191)</f>
        <v>191</v>
      </c>
      <c r="E309" t="s">
        <v>185</v>
      </c>
      <c r="F309" t="s">
        <v>50</v>
      </c>
      <c r="G309" t="s">
        <v>125</v>
      </c>
      <c r="H309" t="s">
        <v>52</v>
      </c>
      <c r="I309">
        <f>ROUND(1099/100,9)</f>
        <v>10.99</v>
      </c>
      <c r="J309">
        <v>0</v>
      </c>
      <c r="O309">
        <f t="shared" si="214"/>
        <v>346529.85</v>
      </c>
      <c r="P309">
        <f t="shared" si="215"/>
        <v>304593.76</v>
      </c>
      <c r="Q309">
        <f t="shared" si="216"/>
        <v>13578.15</v>
      </c>
      <c r="R309">
        <f t="shared" si="217"/>
        <v>7865.87</v>
      </c>
      <c r="S309">
        <f t="shared" si="218"/>
        <v>28357.94</v>
      </c>
      <c r="T309">
        <f t="shared" si="219"/>
        <v>0</v>
      </c>
      <c r="U309">
        <f t="shared" si="220"/>
        <v>149.1343</v>
      </c>
      <c r="V309">
        <f t="shared" si="221"/>
        <v>0</v>
      </c>
      <c r="W309">
        <f t="shared" si="222"/>
        <v>0</v>
      </c>
      <c r="X309">
        <f t="shared" si="223"/>
        <v>19850.560000000001</v>
      </c>
      <c r="Y309">
        <f t="shared" si="224"/>
        <v>2835.79</v>
      </c>
      <c r="AA309">
        <v>37598633</v>
      </c>
      <c r="AB309">
        <f t="shared" si="225"/>
        <v>31531.377499999999</v>
      </c>
      <c r="AC309">
        <f>ROUND((((ES309/4)*5)),6)</f>
        <v>27715.537499999999</v>
      </c>
      <c r="AD309">
        <f t="shared" si="242"/>
        <v>1235.5</v>
      </c>
      <c r="AE309">
        <f t="shared" si="243"/>
        <v>715.73</v>
      </c>
      <c r="AF309">
        <f t="shared" si="243"/>
        <v>2580.34</v>
      </c>
      <c r="AG309">
        <f t="shared" si="226"/>
        <v>0</v>
      </c>
      <c r="AH309">
        <f t="shared" si="244"/>
        <v>13.57</v>
      </c>
      <c r="AI309">
        <f t="shared" si="244"/>
        <v>0</v>
      </c>
      <c r="AJ309">
        <f t="shared" si="227"/>
        <v>0</v>
      </c>
      <c r="AK309">
        <v>25988.27</v>
      </c>
      <c r="AL309">
        <v>22172.43</v>
      </c>
      <c r="AM309">
        <v>1235.5</v>
      </c>
      <c r="AN309">
        <v>715.73</v>
      </c>
      <c r="AO309">
        <v>2580.34</v>
      </c>
      <c r="AP309">
        <v>0</v>
      </c>
      <c r="AQ309">
        <v>13.57</v>
      </c>
      <c r="AR309">
        <v>0</v>
      </c>
      <c r="AS309">
        <v>0</v>
      </c>
      <c r="AT309">
        <v>70</v>
      </c>
      <c r="AU309">
        <v>10</v>
      </c>
      <c r="AV309">
        <v>1</v>
      </c>
      <c r="AW309">
        <v>1</v>
      </c>
      <c r="AZ309">
        <v>1</v>
      </c>
      <c r="BA309">
        <v>1</v>
      </c>
      <c r="BB309">
        <v>1</v>
      </c>
      <c r="BC309">
        <v>1</v>
      </c>
      <c r="BD309" t="s">
        <v>3</v>
      </c>
      <c r="BE309" t="s">
        <v>3</v>
      </c>
      <c r="BF309" t="s">
        <v>3</v>
      </c>
      <c r="BG309" t="s">
        <v>3</v>
      </c>
      <c r="BH309">
        <v>0</v>
      </c>
      <c r="BI309">
        <v>4</v>
      </c>
      <c r="BJ309" t="s">
        <v>53</v>
      </c>
      <c r="BM309">
        <v>0</v>
      </c>
      <c r="BN309">
        <v>0</v>
      </c>
      <c r="BO309" t="s">
        <v>3</v>
      </c>
      <c r="BP309">
        <v>0</v>
      </c>
      <c r="BQ309">
        <v>1</v>
      </c>
      <c r="BR309">
        <v>0</v>
      </c>
      <c r="BS309">
        <v>1</v>
      </c>
      <c r="BT309">
        <v>1</v>
      </c>
      <c r="BU309">
        <v>1</v>
      </c>
      <c r="BV309">
        <v>1</v>
      </c>
      <c r="BW309">
        <v>1</v>
      </c>
      <c r="BX309">
        <v>1</v>
      </c>
      <c r="BY309" t="s">
        <v>3</v>
      </c>
      <c r="BZ309">
        <v>70</v>
      </c>
      <c r="CA309">
        <v>10</v>
      </c>
      <c r="CF309">
        <v>0</v>
      </c>
      <c r="CG309">
        <v>0</v>
      </c>
      <c r="CM309">
        <v>0</v>
      </c>
      <c r="CN309" t="s">
        <v>3</v>
      </c>
      <c r="CO309">
        <v>0</v>
      </c>
      <c r="CP309">
        <f t="shared" si="228"/>
        <v>346529.85000000003</v>
      </c>
      <c r="CQ309">
        <f t="shared" si="229"/>
        <v>27715.537499999999</v>
      </c>
      <c r="CR309">
        <f t="shared" si="245"/>
        <v>1235.5</v>
      </c>
      <c r="CS309">
        <f t="shared" si="230"/>
        <v>715.73</v>
      </c>
      <c r="CT309">
        <f t="shared" si="231"/>
        <v>2580.34</v>
      </c>
      <c r="CU309">
        <f t="shared" si="232"/>
        <v>0</v>
      </c>
      <c r="CV309">
        <f t="shared" si="233"/>
        <v>13.57</v>
      </c>
      <c r="CW309">
        <f t="shared" si="234"/>
        <v>0</v>
      </c>
      <c r="CX309">
        <f t="shared" si="235"/>
        <v>0</v>
      </c>
      <c r="CY309">
        <f t="shared" si="236"/>
        <v>19850.557999999997</v>
      </c>
      <c r="CZ309">
        <f t="shared" si="237"/>
        <v>2835.7939999999999</v>
      </c>
      <c r="DC309" t="s">
        <v>3</v>
      </c>
      <c r="DD309" t="s">
        <v>54</v>
      </c>
      <c r="DE309" t="s">
        <v>3</v>
      </c>
      <c r="DF309" t="s">
        <v>3</v>
      </c>
      <c r="DG309" t="s">
        <v>3</v>
      </c>
      <c r="DH309" t="s">
        <v>3</v>
      </c>
      <c r="DI309" t="s">
        <v>3</v>
      </c>
      <c r="DJ309" t="s">
        <v>3</v>
      </c>
      <c r="DK309" t="s">
        <v>3</v>
      </c>
      <c r="DL309" t="s">
        <v>3</v>
      </c>
      <c r="DM309" t="s">
        <v>3</v>
      </c>
      <c r="DN309">
        <v>0</v>
      </c>
      <c r="DO309">
        <v>0</v>
      </c>
      <c r="DP309">
        <v>1</v>
      </c>
      <c r="DQ309">
        <v>1</v>
      </c>
      <c r="DU309">
        <v>1005</v>
      </c>
      <c r="DV309" t="s">
        <v>52</v>
      </c>
      <c r="DW309" t="s">
        <v>52</v>
      </c>
      <c r="DX309">
        <v>100</v>
      </c>
      <c r="EE309">
        <v>34176748</v>
      </c>
      <c r="EF309">
        <v>1</v>
      </c>
      <c r="EG309" t="s">
        <v>19</v>
      </c>
      <c r="EH309">
        <v>0</v>
      </c>
      <c r="EI309" t="s">
        <v>3</v>
      </c>
      <c r="EJ309">
        <v>4</v>
      </c>
      <c r="EK309">
        <v>0</v>
      </c>
      <c r="EL309" t="s">
        <v>20</v>
      </c>
      <c r="EM309" t="s">
        <v>21</v>
      </c>
      <c r="EO309" t="s">
        <v>3</v>
      </c>
      <c r="EQ309">
        <v>0</v>
      </c>
      <c r="ER309">
        <v>25988.27</v>
      </c>
      <c r="ES309">
        <v>22172.43</v>
      </c>
      <c r="ET309">
        <v>1235.5</v>
      </c>
      <c r="EU309">
        <v>715.73</v>
      </c>
      <c r="EV309">
        <v>2580.34</v>
      </c>
      <c r="EW309">
        <v>13.57</v>
      </c>
      <c r="EX309">
        <v>0</v>
      </c>
      <c r="EY309">
        <v>0</v>
      </c>
      <c r="FQ309">
        <v>0</v>
      </c>
      <c r="FR309">
        <f t="shared" si="238"/>
        <v>0</v>
      </c>
      <c r="FS309">
        <v>0</v>
      </c>
      <c r="FX309">
        <v>70</v>
      </c>
      <c r="FY309">
        <v>10</v>
      </c>
      <c r="GA309" t="s">
        <v>3</v>
      </c>
      <c r="GD309">
        <v>0</v>
      </c>
      <c r="GF309">
        <v>1972566933</v>
      </c>
      <c r="GG309">
        <v>2</v>
      </c>
      <c r="GH309">
        <v>1</v>
      </c>
      <c r="GI309">
        <v>-2</v>
      </c>
      <c r="GJ309">
        <v>0</v>
      </c>
      <c r="GK309">
        <f>ROUND(R309*(R12)/100,2)</f>
        <v>8495.14</v>
      </c>
      <c r="GL309">
        <f t="shared" si="239"/>
        <v>0</v>
      </c>
      <c r="GM309">
        <f t="shared" si="246"/>
        <v>377711.34</v>
      </c>
      <c r="GN309">
        <f t="shared" si="247"/>
        <v>0</v>
      </c>
      <c r="GO309">
        <f t="shared" si="248"/>
        <v>0</v>
      </c>
      <c r="GP309">
        <f t="shared" si="249"/>
        <v>377711.34</v>
      </c>
      <c r="GR309">
        <v>0</v>
      </c>
      <c r="GS309">
        <v>3</v>
      </c>
      <c r="GT309">
        <v>0</v>
      </c>
      <c r="GU309" t="s">
        <v>3</v>
      </c>
      <c r="GV309">
        <f t="shared" si="240"/>
        <v>0</v>
      </c>
      <c r="GW309">
        <v>1</v>
      </c>
      <c r="GX309">
        <f t="shared" si="241"/>
        <v>0</v>
      </c>
      <c r="HA309">
        <v>0</v>
      </c>
      <c r="HB309">
        <v>0</v>
      </c>
      <c r="IK309">
        <v>0</v>
      </c>
    </row>
    <row r="310" spans="1:245" x14ac:dyDescent="0.2">
      <c r="A310">
        <v>17</v>
      </c>
      <c r="B310">
        <v>1</v>
      </c>
      <c r="C310">
        <f>ROW(SmtRes!A201)</f>
        <v>201</v>
      </c>
      <c r="D310">
        <f>ROW(EtalonRes!A201)</f>
        <v>201</v>
      </c>
      <c r="E310" t="s">
        <v>186</v>
      </c>
      <c r="F310" t="s">
        <v>166</v>
      </c>
      <c r="G310" t="s">
        <v>167</v>
      </c>
      <c r="H310" t="s">
        <v>52</v>
      </c>
      <c r="I310">
        <f>ROUND(I309,9)</f>
        <v>10.99</v>
      </c>
      <c r="J310">
        <v>0</v>
      </c>
      <c r="O310">
        <f t="shared" si="214"/>
        <v>897804.54</v>
      </c>
      <c r="P310">
        <f t="shared" si="215"/>
        <v>838870.77</v>
      </c>
      <c r="Q310">
        <f t="shared" si="216"/>
        <v>21708.33</v>
      </c>
      <c r="R310">
        <f t="shared" si="217"/>
        <v>16561.05</v>
      </c>
      <c r="S310">
        <f t="shared" si="218"/>
        <v>37225.440000000002</v>
      </c>
      <c r="T310">
        <f t="shared" si="219"/>
        <v>0</v>
      </c>
      <c r="U310">
        <f t="shared" si="220"/>
        <v>202.65560000000002</v>
      </c>
      <c r="V310">
        <f t="shared" si="221"/>
        <v>0</v>
      </c>
      <c r="W310">
        <f t="shared" si="222"/>
        <v>0</v>
      </c>
      <c r="X310">
        <f t="shared" si="223"/>
        <v>26057.81</v>
      </c>
      <c r="Y310">
        <f t="shared" si="224"/>
        <v>3722.54</v>
      </c>
      <c r="AA310">
        <v>37598633</v>
      </c>
      <c r="AB310">
        <f t="shared" si="225"/>
        <v>81692.86</v>
      </c>
      <c r="AC310">
        <f>ROUND((ES310),6)</f>
        <v>76330.37</v>
      </c>
      <c r="AD310">
        <f t="shared" si="242"/>
        <v>1975.28</v>
      </c>
      <c r="AE310">
        <f t="shared" si="243"/>
        <v>1506.92</v>
      </c>
      <c r="AF310">
        <f t="shared" si="243"/>
        <v>3387.21</v>
      </c>
      <c r="AG310">
        <f t="shared" si="226"/>
        <v>0</v>
      </c>
      <c r="AH310">
        <f t="shared" si="244"/>
        <v>18.440000000000001</v>
      </c>
      <c r="AI310">
        <f t="shared" si="244"/>
        <v>0</v>
      </c>
      <c r="AJ310">
        <f t="shared" si="227"/>
        <v>0</v>
      </c>
      <c r="AK310">
        <v>81692.86</v>
      </c>
      <c r="AL310">
        <v>76330.37</v>
      </c>
      <c r="AM310">
        <v>1975.28</v>
      </c>
      <c r="AN310">
        <v>1506.92</v>
      </c>
      <c r="AO310">
        <v>3387.21</v>
      </c>
      <c r="AP310">
        <v>0</v>
      </c>
      <c r="AQ310">
        <v>18.440000000000001</v>
      </c>
      <c r="AR310">
        <v>0</v>
      </c>
      <c r="AS310">
        <v>0</v>
      </c>
      <c r="AT310">
        <v>70</v>
      </c>
      <c r="AU310">
        <v>10</v>
      </c>
      <c r="AV310">
        <v>1</v>
      </c>
      <c r="AW310">
        <v>1</v>
      </c>
      <c r="AZ310">
        <v>1</v>
      </c>
      <c r="BA310">
        <v>1</v>
      </c>
      <c r="BB310">
        <v>1</v>
      </c>
      <c r="BC310">
        <v>1</v>
      </c>
      <c r="BD310" t="s">
        <v>3</v>
      </c>
      <c r="BE310" t="s">
        <v>3</v>
      </c>
      <c r="BF310" t="s">
        <v>3</v>
      </c>
      <c r="BG310" t="s">
        <v>3</v>
      </c>
      <c r="BH310">
        <v>0</v>
      </c>
      <c r="BI310">
        <v>4</v>
      </c>
      <c r="BJ310" t="s">
        <v>168</v>
      </c>
      <c r="BM310">
        <v>0</v>
      </c>
      <c r="BN310">
        <v>0</v>
      </c>
      <c r="BO310" t="s">
        <v>3</v>
      </c>
      <c r="BP310">
        <v>0</v>
      </c>
      <c r="BQ310">
        <v>1</v>
      </c>
      <c r="BR310">
        <v>0</v>
      </c>
      <c r="BS310">
        <v>1</v>
      </c>
      <c r="BT310">
        <v>1</v>
      </c>
      <c r="BU310">
        <v>1</v>
      </c>
      <c r="BV310">
        <v>1</v>
      </c>
      <c r="BW310">
        <v>1</v>
      </c>
      <c r="BX310">
        <v>1</v>
      </c>
      <c r="BY310" t="s">
        <v>3</v>
      </c>
      <c r="BZ310">
        <v>70</v>
      </c>
      <c r="CA310">
        <v>10</v>
      </c>
      <c r="CF310">
        <v>0</v>
      </c>
      <c r="CG310">
        <v>0</v>
      </c>
      <c r="CM310">
        <v>0</v>
      </c>
      <c r="CN310" t="s">
        <v>3</v>
      </c>
      <c r="CO310">
        <v>0</v>
      </c>
      <c r="CP310">
        <f t="shared" si="228"/>
        <v>897804.54</v>
      </c>
      <c r="CQ310">
        <f t="shared" si="229"/>
        <v>76330.37</v>
      </c>
      <c r="CR310">
        <f t="shared" si="245"/>
        <v>1975.28</v>
      </c>
      <c r="CS310">
        <f t="shared" si="230"/>
        <v>1506.92</v>
      </c>
      <c r="CT310">
        <f t="shared" si="231"/>
        <v>3387.21</v>
      </c>
      <c r="CU310">
        <f t="shared" si="232"/>
        <v>0</v>
      </c>
      <c r="CV310">
        <f t="shared" si="233"/>
        <v>18.440000000000001</v>
      </c>
      <c r="CW310">
        <f t="shared" si="234"/>
        <v>0</v>
      </c>
      <c r="CX310">
        <f t="shared" si="235"/>
        <v>0</v>
      </c>
      <c r="CY310">
        <f t="shared" si="236"/>
        <v>26057.808000000005</v>
      </c>
      <c r="CZ310">
        <f t="shared" si="237"/>
        <v>3722.5440000000003</v>
      </c>
      <c r="DC310" t="s">
        <v>3</v>
      </c>
      <c r="DD310" t="s">
        <v>3</v>
      </c>
      <c r="DE310" t="s">
        <v>3</v>
      </c>
      <c r="DF310" t="s">
        <v>3</v>
      </c>
      <c r="DG310" t="s">
        <v>3</v>
      </c>
      <c r="DH310" t="s">
        <v>3</v>
      </c>
      <c r="DI310" t="s">
        <v>3</v>
      </c>
      <c r="DJ310" t="s">
        <v>3</v>
      </c>
      <c r="DK310" t="s">
        <v>3</v>
      </c>
      <c r="DL310" t="s">
        <v>3</v>
      </c>
      <c r="DM310" t="s">
        <v>3</v>
      </c>
      <c r="DN310">
        <v>0</v>
      </c>
      <c r="DO310">
        <v>0</v>
      </c>
      <c r="DP310">
        <v>1</v>
      </c>
      <c r="DQ310">
        <v>1</v>
      </c>
      <c r="DU310">
        <v>1005</v>
      </c>
      <c r="DV310" t="s">
        <v>52</v>
      </c>
      <c r="DW310" t="s">
        <v>52</v>
      </c>
      <c r="DX310">
        <v>100</v>
      </c>
      <c r="EE310">
        <v>34176748</v>
      </c>
      <c r="EF310">
        <v>1</v>
      </c>
      <c r="EG310" t="s">
        <v>19</v>
      </c>
      <c r="EH310">
        <v>0</v>
      </c>
      <c r="EI310" t="s">
        <v>3</v>
      </c>
      <c r="EJ310">
        <v>4</v>
      </c>
      <c r="EK310">
        <v>0</v>
      </c>
      <c r="EL310" t="s">
        <v>20</v>
      </c>
      <c r="EM310" t="s">
        <v>21</v>
      </c>
      <c r="EO310" t="s">
        <v>3</v>
      </c>
      <c r="EQ310">
        <v>0</v>
      </c>
      <c r="ER310">
        <v>81692.86</v>
      </c>
      <c r="ES310">
        <v>76330.37</v>
      </c>
      <c r="ET310">
        <v>1975.28</v>
      </c>
      <c r="EU310">
        <v>1506.92</v>
      </c>
      <c r="EV310">
        <v>3387.21</v>
      </c>
      <c r="EW310">
        <v>18.440000000000001</v>
      </c>
      <c r="EX310">
        <v>0</v>
      </c>
      <c r="EY310">
        <v>0</v>
      </c>
      <c r="FQ310">
        <v>0</v>
      </c>
      <c r="FR310">
        <f t="shared" si="238"/>
        <v>0</v>
      </c>
      <c r="FS310">
        <v>0</v>
      </c>
      <c r="FX310">
        <v>70</v>
      </c>
      <c r="FY310">
        <v>10</v>
      </c>
      <c r="GA310" t="s">
        <v>3</v>
      </c>
      <c r="GD310">
        <v>0</v>
      </c>
      <c r="GF310">
        <v>71085136</v>
      </c>
      <c r="GG310">
        <v>2</v>
      </c>
      <c r="GH310">
        <v>1</v>
      </c>
      <c r="GI310">
        <v>-2</v>
      </c>
      <c r="GJ310">
        <v>0</v>
      </c>
      <c r="GK310">
        <f>ROUND(R310*(R12)/100,2)</f>
        <v>17885.93</v>
      </c>
      <c r="GL310">
        <f t="shared" si="239"/>
        <v>0</v>
      </c>
      <c r="GM310">
        <f t="shared" si="246"/>
        <v>945470.82</v>
      </c>
      <c r="GN310">
        <f t="shared" si="247"/>
        <v>0</v>
      </c>
      <c r="GO310">
        <f t="shared" si="248"/>
        <v>0</v>
      </c>
      <c r="GP310">
        <f t="shared" si="249"/>
        <v>945470.82</v>
      </c>
      <c r="GR310">
        <v>0</v>
      </c>
      <c r="GS310">
        <v>3</v>
      </c>
      <c r="GT310">
        <v>0</v>
      </c>
      <c r="GU310" t="s">
        <v>3</v>
      </c>
      <c r="GV310">
        <f t="shared" si="240"/>
        <v>0</v>
      </c>
      <c r="GW310">
        <v>1</v>
      </c>
      <c r="GX310">
        <f t="shared" si="241"/>
        <v>0</v>
      </c>
      <c r="HA310">
        <v>0</v>
      </c>
      <c r="HB310">
        <v>0</v>
      </c>
      <c r="IK310">
        <v>0</v>
      </c>
    </row>
    <row r="311" spans="1:245" x14ac:dyDescent="0.2">
      <c r="A311">
        <v>17</v>
      </c>
      <c r="B311">
        <v>1</v>
      </c>
      <c r="C311">
        <f>ROW(SmtRes!A207)</f>
        <v>207</v>
      </c>
      <c r="D311">
        <f>ROW(EtalonRes!A207)</f>
        <v>207</v>
      </c>
      <c r="E311" t="s">
        <v>187</v>
      </c>
      <c r="F311" t="s">
        <v>170</v>
      </c>
      <c r="G311" t="s">
        <v>171</v>
      </c>
      <c r="H311" t="s">
        <v>52</v>
      </c>
      <c r="I311">
        <f>ROUND(I310,9)</f>
        <v>10.99</v>
      </c>
      <c r="J311">
        <v>0</v>
      </c>
      <c r="O311">
        <f t="shared" si="214"/>
        <v>164388.75</v>
      </c>
      <c r="P311">
        <f t="shared" si="215"/>
        <v>154790.85</v>
      </c>
      <c r="Q311">
        <f t="shared" si="216"/>
        <v>4086.52</v>
      </c>
      <c r="R311">
        <f t="shared" si="217"/>
        <v>3126.98</v>
      </c>
      <c r="S311">
        <f t="shared" si="218"/>
        <v>5511.38</v>
      </c>
      <c r="T311">
        <f t="shared" si="219"/>
        <v>0</v>
      </c>
      <c r="U311">
        <f t="shared" si="220"/>
        <v>29.1235</v>
      </c>
      <c r="V311">
        <f t="shared" si="221"/>
        <v>0</v>
      </c>
      <c r="W311">
        <f t="shared" si="222"/>
        <v>0</v>
      </c>
      <c r="X311">
        <f t="shared" si="223"/>
        <v>3857.97</v>
      </c>
      <c r="Y311">
        <f t="shared" si="224"/>
        <v>551.14</v>
      </c>
      <c r="AA311">
        <v>37598633</v>
      </c>
      <c r="AB311">
        <f t="shared" si="225"/>
        <v>14958.03</v>
      </c>
      <c r="AC311">
        <f>ROUND((ES311),6)</f>
        <v>14084.7</v>
      </c>
      <c r="AD311">
        <f t="shared" si="242"/>
        <v>371.84</v>
      </c>
      <c r="AE311">
        <f t="shared" si="243"/>
        <v>284.52999999999997</v>
      </c>
      <c r="AF311">
        <f t="shared" si="243"/>
        <v>501.49</v>
      </c>
      <c r="AG311">
        <f t="shared" si="226"/>
        <v>0</v>
      </c>
      <c r="AH311">
        <f t="shared" si="244"/>
        <v>2.65</v>
      </c>
      <c r="AI311">
        <f t="shared" si="244"/>
        <v>0</v>
      </c>
      <c r="AJ311">
        <f t="shared" si="227"/>
        <v>0</v>
      </c>
      <c r="AK311">
        <v>14958.03</v>
      </c>
      <c r="AL311">
        <v>14084.7</v>
      </c>
      <c r="AM311">
        <v>371.84</v>
      </c>
      <c r="AN311">
        <v>284.52999999999997</v>
      </c>
      <c r="AO311">
        <v>501.49</v>
      </c>
      <c r="AP311">
        <v>0</v>
      </c>
      <c r="AQ311">
        <v>2.65</v>
      </c>
      <c r="AR311">
        <v>0</v>
      </c>
      <c r="AS311">
        <v>0</v>
      </c>
      <c r="AT311">
        <v>70</v>
      </c>
      <c r="AU311">
        <v>10</v>
      </c>
      <c r="AV311">
        <v>1</v>
      </c>
      <c r="AW311">
        <v>1</v>
      </c>
      <c r="AZ311">
        <v>1</v>
      </c>
      <c r="BA311">
        <v>1</v>
      </c>
      <c r="BB311">
        <v>1</v>
      </c>
      <c r="BC311">
        <v>1</v>
      </c>
      <c r="BD311" t="s">
        <v>3</v>
      </c>
      <c r="BE311" t="s">
        <v>3</v>
      </c>
      <c r="BF311" t="s">
        <v>3</v>
      </c>
      <c r="BG311" t="s">
        <v>3</v>
      </c>
      <c r="BH311">
        <v>0</v>
      </c>
      <c r="BI311">
        <v>4</v>
      </c>
      <c r="BJ311" t="s">
        <v>172</v>
      </c>
      <c r="BM311">
        <v>0</v>
      </c>
      <c r="BN311">
        <v>0</v>
      </c>
      <c r="BO311" t="s">
        <v>3</v>
      </c>
      <c r="BP311">
        <v>0</v>
      </c>
      <c r="BQ311">
        <v>1</v>
      </c>
      <c r="BR311">
        <v>0</v>
      </c>
      <c r="BS311">
        <v>1</v>
      </c>
      <c r="BT311">
        <v>1</v>
      </c>
      <c r="BU311">
        <v>1</v>
      </c>
      <c r="BV311">
        <v>1</v>
      </c>
      <c r="BW311">
        <v>1</v>
      </c>
      <c r="BX311">
        <v>1</v>
      </c>
      <c r="BY311" t="s">
        <v>3</v>
      </c>
      <c r="BZ311">
        <v>70</v>
      </c>
      <c r="CA311">
        <v>10</v>
      </c>
      <c r="CF311">
        <v>0</v>
      </c>
      <c r="CG311">
        <v>0</v>
      </c>
      <c r="CM311">
        <v>0</v>
      </c>
      <c r="CN311" t="s">
        <v>3</v>
      </c>
      <c r="CO311">
        <v>0</v>
      </c>
      <c r="CP311">
        <f t="shared" si="228"/>
        <v>164388.75</v>
      </c>
      <c r="CQ311">
        <f t="shared" si="229"/>
        <v>14084.7</v>
      </c>
      <c r="CR311">
        <f t="shared" si="245"/>
        <v>371.84</v>
      </c>
      <c r="CS311">
        <f t="shared" si="230"/>
        <v>284.52999999999997</v>
      </c>
      <c r="CT311">
        <f t="shared" si="231"/>
        <v>501.49</v>
      </c>
      <c r="CU311">
        <f t="shared" si="232"/>
        <v>0</v>
      </c>
      <c r="CV311">
        <f t="shared" si="233"/>
        <v>2.65</v>
      </c>
      <c r="CW311">
        <f t="shared" si="234"/>
        <v>0</v>
      </c>
      <c r="CX311">
        <f t="shared" si="235"/>
        <v>0</v>
      </c>
      <c r="CY311">
        <f t="shared" si="236"/>
        <v>3857.9660000000003</v>
      </c>
      <c r="CZ311">
        <f t="shared" si="237"/>
        <v>551.13800000000003</v>
      </c>
      <c r="DC311" t="s">
        <v>3</v>
      </c>
      <c r="DD311" t="s">
        <v>3</v>
      </c>
      <c r="DE311" t="s">
        <v>3</v>
      </c>
      <c r="DF311" t="s">
        <v>3</v>
      </c>
      <c r="DG311" t="s">
        <v>3</v>
      </c>
      <c r="DH311" t="s">
        <v>3</v>
      </c>
      <c r="DI311" t="s">
        <v>3</v>
      </c>
      <c r="DJ311" t="s">
        <v>3</v>
      </c>
      <c r="DK311" t="s">
        <v>3</v>
      </c>
      <c r="DL311" t="s">
        <v>3</v>
      </c>
      <c r="DM311" t="s">
        <v>3</v>
      </c>
      <c r="DN311">
        <v>0</v>
      </c>
      <c r="DO311">
        <v>0</v>
      </c>
      <c r="DP311">
        <v>1</v>
      </c>
      <c r="DQ311">
        <v>1</v>
      </c>
      <c r="DU311">
        <v>1005</v>
      </c>
      <c r="DV311" t="s">
        <v>52</v>
      </c>
      <c r="DW311" t="s">
        <v>52</v>
      </c>
      <c r="DX311">
        <v>100</v>
      </c>
      <c r="EE311">
        <v>34176748</v>
      </c>
      <c r="EF311">
        <v>1</v>
      </c>
      <c r="EG311" t="s">
        <v>19</v>
      </c>
      <c r="EH311">
        <v>0</v>
      </c>
      <c r="EI311" t="s">
        <v>3</v>
      </c>
      <c r="EJ311">
        <v>4</v>
      </c>
      <c r="EK311">
        <v>0</v>
      </c>
      <c r="EL311" t="s">
        <v>20</v>
      </c>
      <c r="EM311" t="s">
        <v>21</v>
      </c>
      <c r="EO311" t="s">
        <v>3</v>
      </c>
      <c r="EQ311">
        <v>0</v>
      </c>
      <c r="ER311">
        <v>14958.03</v>
      </c>
      <c r="ES311">
        <v>14084.7</v>
      </c>
      <c r="ET311">
        <v>371.84</v>
      </c>
      <c r="EU311">
        <v>284.52999999999997</v>
      </c>
      <c r="EV311">
        <v>501.49</v>
      </c>
      <c r="EW311">
        <v>2.65</v>
      </c>
      <c r="EX311">
        <v>0</v>
      </c>
      <c r="EY311">
        <v>0</v>
      </c>
      <c r="FQ311">
        <v>0</v>
      </c>
      <c r="FR311">
        <f t="shared" si="238"/>
        <v>0</v>
      </c>
      <c r="FS311">
        <v>0</v>
      </c>
      <c r="FX311">
        <v>70</v>
      </c>
      <c r="FY311">
        <v>10</v>
      </c>
      <c r="GA311" t="s">
        <v>3</v>
      </c>
      <c r="GD311">
        <v>0</v>
      </c>
      <c r="GF311">
        <v>-1169134821</v>
      </c>
      <c r="GG311">
        <v>2</v>
      </c>
      <c r="GH311">
        <v>1</v>
      </c>
      <c r="GI311">
        <v>-2</v>
      </c>
      <c r="GJ311">
        <v>0</v>
      </c>
      <c r="GK311">
        <f>ROUND(R311*(R12)/100,2)</f>
        <v>3377.14</v>
      </c>
      <c r="GL311">
        <f t="shared" si="239"/>
        <v>0</v>
      </c>
      <c r="GM311">
        <f t="shared" si="246"/>
        <v>172175</v>
      </c>
      <c r="GN311">
        <f t="shared" si="247"/>
        <v>0</v>
      </c>
      <c r="GO311">
        <f t="shared" si="248"/>
        <v>0</v>
      </c>
      <c r="GP311">
        <f t="shared" si="249"/>
        <v>172175</v>
      </c>
      <c r="GR311">
        <v>0</v>
      </c>
      <c r="GS311">
        <v>3</v>
      </c>
      <c r="GT311">
        <v>0</v>
      </c>
      <c r="GU311" t="s">
        <v>3</v>
      </c>
      <c r="GV311">
        <f t="shared" si="240"/>
        <v>0</v>
      </c>
      <c r="GW311">
        <v>1</v>
      </c>
      <c r="GX311">
        <f t="shared" si="241"/>
        <v>0</v>
      </c>
      <c r="HA311">
        <v>0</v>
      </c>
      <c r="HB311">
        <v>0</v>
      </c>
      <c r="IK311">
        <v>0</v>
      </c>
    </row>
    <row r="312" spans="1:245" x14ac:dyDescent="0.2">
      <c r="A312">
        <v>17</v>
      </c>
      <c r="B312">
        <v>1</v>
      </c>
      <c r="C312">
        <f>ROW(SmtRes!A210)</f>
        <v>210</v>
      </c>
      <c r="D312">
        <f>ROW(EtalonRes!A210)</f>
        <v>210</v>
      </c>
      <c r="E312" t="s">
        <v>188</v>
      </c>
      <c r="F312" t="s">
        <v>174</v>
      </c>
      <c r="G312" t="s">
        <v>175</v>
      </c>
      <c r="H312" t="s">
        <v>176</v>
      </c>
      <c r="I312">
        <f>ROUND(156,9)</f>
        <v>156</v>
      </c>
      <c r="J312">
        <v>0</v>
      </c>
      <c r="O312">
        <f t="shared" si="214"/>
        <v>11319.36</v>
      </c>
      <c r="P312">
        <f t="shared" si="215"/>
        <v>6956.04</v>
      </c>
      <c r="Q312">
        <f t="shared" si="216"/>
        <v>2740.92</v>
      </c>
      <c r="R312">
        <f t="shared" si="217"/>
        <v>488.28</v>
      </c>
      <c r="S312">
        <f t="shared" si="218"/>
        <v>1622.4</v>
      </c>
      <c r="T312">
        <f t="shared" si="219"/>
        <v>0</v>
      </c>
      <c r="U312">
        <f t="shared" si="220"/>
        <v>9.36</v>
      </c>
      <c r="V312">
        <f t="shared" si="221"/>
        <v>0</v>
      </c>
      <c r="W312">
        <f t="shared" si="222"/>
        <v>0</v>
      </c>
      <c r="X312">
        <f t="shared" si="223"/>
        <v>1297.92</v>
      </c>
      <c r="Y312">
        <f t="shared" si="224"/>
        <v>162.24</v>
      </c>
      <c r="AA312">
        <v>37598633</v>
      </c>
      <c r="AB312">
        <f t="shared" si="225"/>
        <v>72.56</v>
      </c>
      <c r="AC312">
        <f>ROUND((ES312),6)</f>
        <v>44.59</v>
      </c>
      <c r="AD312">
        <f t="shared" si="242"/>
        <v>17.57</v>
      </c>
      <c r="AE312">
        <f t="shared" si="243"/>
        <v>3.13</v>
      </c>
      <c r="AF312">
        <f t="shared" si="243"/>
        <v>10.4</v>
      </c>
      <c r="AG312">
        <f t="shared" si="226"/>
        <v>0</v>
      </c>
      <c r="AH312">
        <f t="shared" si="244"/>
        <v>0.06</v>
      </c>
      <c r="AI312">
        <f t="shared" si="244"/>
        <v>0</v>
      </c>
      <c r="AJ312">
        <f t="shared" si="227"/>
        <v>0</v>
      </c>
      <c r="AK312">
        <v>72.56</v>
      </c>
      <c r="AL312">
        <v>44.59</v>
      </c>
      <c r="AM312">
        <v>17.57</v>
      </c>
      <c r="AN312">
        <v>3.13</v>
      </c>
      <c r="AO312">
        <v>10.4</v>
      </c>
      <c r="AP312">
        <v>0</v>
      </c>
      <c r="AQ312">
        <v>0.06</v>
      </c>
      <c r="AR312">
        <v>0</v>
      </c>
      <c r="AS312">
        <v>0</v>
      </c>
      <c r="AT312">
        <v>80</v>
      </c>
      <c r="AU312">
        <v>10</v>
      </c>
      <c r="AV312">
        <v>1</v>
      </c>
      <c r="AW312">
        <v>1</v>
      </c>
      <c r="AZ312">
        <v>1</v>
      </c>
      <c r="BA312">
        <v>1</v>
      </c>
      <c r="BB312">
        <v>1</v>
      </c>
      <c r="BC312">
        <v>1</v>
      </c>
      <c r="BD312" t="s">
        <v>3</v>
      </c>
      <c r="BE312" t="s">
        <v>3</v>
      </c>
      <c r="BF312" t="s">
        <v>3</v>
      </c>
      <c r="BG312" t="s">
        <v>3</v>
      </c>
      <c r="BH312">
        <v>0</v>
      </c>
      <c r="BI312">
        <v>4</v>
      </c>
      <c r="BJ312" t="s">
        <v>177</v>
      </c>
      <c r="BM312">
        <v>2</v>
      </c>
      <c r="BN312">
        <v>0</v>
      </c>
      <c r="BO312" t="s">
        <v>3</v>
      </c>
      <c r="BP312">
        <v>0</v>
      </c>
      <c r="BQ312">
        <v>1</v>
      </c>
      <c r="BR312">
        <v>0</v>
      </c>
      <c r="BS312">
        <v>1</v>
      </c>
      <c r="BT312">
        <v>1</v>
      </c>
      <c r="BU312">
        <v>1</v>
      </c>
      <c r="BV312">
        <v>1</v>
      </c>
      <c r="BW312">
        <v>1</v>
      </c>
      <c r="BX312">
        <v>1</v>
      </c>
      <c r="BY312" t="s">
        <v>3</v>
      </c>
      <c r="BZ312">
        <v>80</v>
      </c>
      <c r="CA312">
        <v>10</v>
      </c>
      <c r="CF312">
        <v>0</v>
      </c>
      <c r="CG312">
        <v>0</v>
      </c>
      <c r="CM312">
        <v>0</v>
      </c>
      <c r="CN312" t="s">
        <v>3</v>
      </c>
      <c r="CO312">
        <v>0</v>
      </c>
      <c r="CP312">
        <f t="shared" si="228"/>
        <v>11319.359999999999</v>
      </c>
      <c r="CQ312">
        <f t="shared" si="229"/>
        <v>44.59</v>
      </c>
      <c r="CR312">
        <f t="shared" si="245"/>
        <v>17.57</v>
      </c>
      <c r="CS312">
        <f t="shared" si="230"/>
        <v>3.13</v>
      </c>
      <c r="CT312">
        <f t="shared" si="231"/>
        <v>10.4</v>
      </c>
      <c r="CU312">
        <f t="shared" si="232"/>
        <v>0</v>
      </c>
      <c r="CV312">
        <f t="shared" si="233"/>
        <v>0.06</v>
      </c>
      <c r="CW312">
        <f t="shared" si="234"/>
        <v>0</v>
      </c>
      <c r="CX312">
        <f t="shared" si="235"/>
        <v>0</v>
      </c>
      <c r="CY312">
        <f t="shared" si="236"/>
        <v>1297.92</v>
      </c>
      <c r="CZ312">
        <f t="shared" si="237"/>
        <v>162.24</v>
      </c>
      <c r="DC312" t="s">
        <v>3</v>
      </c>
      <c r="DD312" t="s">
        <v>3</v>
      </c>
      <c r="DE312" t="s">
        <v>3</v>
      </c>
      <c r="DF312" t="s">
        <v>3</v>
      </c>
      <c r="DG312" t="s">
        <v>3</v>
      </c>
      <c r="DH312" t="s">
        <v>3</v>
      </c>
      <c r="DI312" t="s">
        <v>3</v>
      </c>
      <c r="DJ312" t="s">
        <v>3</v>
      </c>
      <c r="DK312" t="s">
        <v>3</v>
      </c>
      <c r="DL312" t="s">
        <v>3</v>
      </c>
      <c r="DM312" t="s">
        <v>3</v>
      </c>
      <c r="DN312">
        <v>0</v>
      </c>
      <c r="DO312">
        <v>0</v>
      </c>
      <c r="DP312">
        <v>1</v>
      </c>
      <c r="DQ312">
        <v>1</v>
      </c>
      <c r="DU312">
        <v>1005</v>
      </c>
      <c r="DV312" t="s">
        <v>176</v>
      </c>
      <c r="DW312" t="s">
        <v>176</v>
      </c>
      <c r="DX312">
        <v>1</v>
      </c>
      <c r="EE312">
        <v>34176751</v>
      </c>
      <c r="EF312">
        <v>1</v>
      </c>
      <c r="EG312" t="s">
        <v>19</v>
      </c>
      <c r="EH312">
        <v>0</v>
      </c>
      <c r="EI312" t="s">
        <v>3</v>
      </c>
      <c r="EJ312">
        <v>4</v>
      </c>
      <c r="EK312">
        <v>2</v>
      </c>
      <c r="EL312" t="s">
        <v>178</v>
      </c>
      <c r="EM312" t="s">
        <v>21</v>
      </c>
      <c r="EO312" t="s">
        <v>3</v>
      </c>
      <c r="EQ312">
        <v>0</v>
      </c>
      <c r="ER312">
        <v>72.56</v>
      </c>
      <c r="ES312">
        <v>44.59</v>
      </c>
      <c r="ET312">
        <v>17.57</v>
      </c>
      <c r="EU312">
        <v>3.13</v>
      </c>
      <c r="EV312">
        <v>10.4</v>
      </c>
      <c r="EW312">
        <v>0.06</v>
      </c>
      <c r="EX312">
        <v>0</v>
      </c>
      <c r="EY312">
        <v>0</v>
      </c>
      <c r="FQ312">
        <v>0</v>
      </c>
      <c r="FR312">
        <f t="shared" si="238"/>
        <v>0</v>
      </c>
      <c r="FS312">
        <v>0</v>
      </c>
      <c r="FX312">
        <v>80</v>
      </c>
      <c r="FY312">
        <v>10</v>
      </c>
      <c r="GA312" t="s">
        <v>3</v>
      </c>
      <c r="GD312">
        <v>0</v>
      </c>
      <c r="GF312">
        <v>-2140162865</v>
      </c>
      <c r="GG312">
        <v>2</v>
      </c>
      <c r="GH312">
        <v>1</v>
      </c>
      <c r="GI312">
        <v>-2</v>
      </c>
      <c r="GJ312">
        <v>0</v>
      </c>
      <c r="GK312">
        <f>ROUND(R312*(R12)/100,2)</f>
        <v>527.34</v>
      </c>
      <c r="GL312">
        <f t="shared" si="239"/>
        <v>0</v>
      </c>
      <c r="GM312">
        <f t="shared" si="246"/>
        <v>13306.86</v>
      </c>
      <c r="GN312">
        <f t="shared" si="247"/>
        <v>0</v>
      </c>
      <c r="GO312">
        <f t="shared" si="248"/>
        <v>0</v>
      </c>
      <c r="GP312">
        <f t="shared" si="249"/>
        <v>13306.86</v>
      </c>
      <c r="GR312">
        <v>0</v>
      </c>
      <c r="GS312">
        <v>3</v>
      </c>
      <c r="GT312">
        <v>0</v>
      </c>
      <c r="GU312" t="s">
        <v>3</v>
      </c>
      <c r="GV312">
        <f t="shared" si="240"/>
        <v>0</v>
      </c>
      <c r="GW312">
        <v>1</v>
      </c>
      <c r="GX312">
        <f t="shared" si="241"/>
        <v>0</v>
      </c>
      <c r="HA312">
        <v>0</v>
      </c>
      <c r="HB312">
        <v>0</v>
      </c>
      <c r="IK312">
        <v>0</v>
      </c>
    </row>
    <row r="314" spans="1:245" x14ac:dyDescent="0.2">
      <c r="A314" s="2">
        <v>51</v>
      </c>
      <c r="B314" s="2">
        <f>B300</f>
        <v>1</v>
      </c>
      <c r="C314" s="2">
        <f>A300</f>
        <v>4</v>
      </c>
      <c r="D314" s="2">
        <f>ROW(A300)</f>
        <v>300</v>
      </c>
      <c r="E314" s="2"/>
      <c r="F314" s="2" t="str">
        <f>IF(F300&lt;&gt;"",F300,"")</f>
        <v>Новый раздел</v>
      </c>
      <c r="G314" s="2" t="str">
        <f>IF(G300&lt;&gt;"",G300,"")</f>
        <v>Устройство резинового покрытия на детских площадках - 1099м2</v>
      </c>
      <c r="H314" s="2">
        <v>0</v>
      </c>
      <c r="I314" s="2"/>
      <c r="J314" s="2"/>
      <c r="K314" s="2"/>
      <c r="L314" s="2"/>
      <c r="M314" s="2"/>
      <c r="N314" s="2"/>
      <c r="O314" s="2">
        <f t="shared" ref="O314:T314" si="250">ROUND(AB314,2)</f>
        <v>1901691.48</v>
      </c>
      <c r="P314" s="2">
        <f t="shared" si="250"/>
        <v>1637817.2</v>
      </c>
      <c r="Q314" s="2">
        <f t="shared" si="250"/>
        <v>183510.25</v>
      </c>
      <c r="R314" s="2">
        <f t="shared" si="250"/>
        <v>105706.23</v>
      </c>
      <c r="S314" s="2">
        <f t="shared" si="250"/>
        <v>80364.03</v>
      </c>
      <c r="T314" s="2">
        <f t="shared" si="250"/>
        <v>0</v>
      </c>
      <c r="U314" s="2">
        <f>AH314</f>
        <v>439.92622</v>
      </c>
      <c r="V314" s="2">
        <f>AI314</f>
        <v>0</v>
      </c>
      <c r="W314" s="2">
        <f>ROUND(AJ314,2)</f>
        <v>0</v>
      </c>
      <c r="X314" s="2">
        <f>ROUND(AK314,2)</f>
        <v>56417.07</v>
      </c>
      <c r="Y314" s="2">
        <f>ROUND(AL314,2)</f>
        <v>8036.4</v>
      </c>
      <c r="Z314" s="2"/>
      <c r="AA314" s="2"/>
      <c r="AB314" s="2">
        <f>ROUND(SUMIF(AA304:AA312,"=37598633",O304:O312),2)</f>
        <v>1901691.48</v>
      </c>
      <c r="AC314" s="2">
        <f>ROUND(SUMIF(AA304:AA312,"=37598633",P304:P312),2)</f>
        <v>1637817.2</v>
      </c>
      <c r="AD314" s="2">
        <f>ROUND(SUMIF(AA304:AA312,"=37598633",Q304:Q312),2)</f>
        <v>183510.25</v>
      </c>
      <c r="AE314" s="2">
        <f>ROUND(SUMIF(AA304:AA312,"=37598633",R304:R312),2)</f>
        <v>105706.23</v>
      </c>
      <c r="AF314" s="2">
        <f>ROUND(SUMIF(AA304:AA312,"=37598633",S304:S312),2)</f>
        <v>80364.03</v>
      </c>
      <c r="AG314" s="2">
        <f>ROUND(SUMIF(AA304:AA312,"=37598633",T304:T312),2)</f>
        <v>0</v>
      </c>
      <c r="AH314" s="2">
        <f>SUMIF(AA304:AA312,"=37598633",U304:U312)</f>
        <v>439.92622</v>
      </c>
      <c r="AI314" s="2">
        <f>SUMIF(AA304:AA312,"=37598633",V304:V312)</f>
        <v>0</v>
      </c>
      <c r="AJ314" s="2">
        <f>ROUND(SUMIF(AA304:AA312,"=37598633",W304:W312),2)</f>
        <v>0</v>
      </c>
      <c r="AK314" s="2">
        <f>ROUND(SUMIF(AA304:AA312,"=37598633",X304:X312),2)</f>
        <v>56417.07</v>
      </c>
      <c r="AL314" s="2">
        <f>ROUND(SUMIF(AA304:AA312,"=37598633",Y304:Y312),2)</f>
        <v>8036.4</v>
      </c>
      <c r="AM314" s="2"/>
      <c r="AN314" s="2"/>
      <c r="AO314" s="2">
        <f t="shared" ref="AO314:BC314" si="251">ROUND(BX314,2)</f>
        <v>0</v>
      </c>
      <c r="AP314" s="2">
        <f t="shared" si="251"/>
        <v>0</v>
      </c>
      <c r="AQ314" s="2">
        <f t="shared" si="251"/>
        <v>0</v>
      </c>
      <c r="AR314" s="2">
        <f t="shared" si="251"/>
        <v>2027063.2</v>
      </c>
      <c r="AS314" s="2">
        <f t="shared" si="251"/>
        <v>0</v>
      </c>
      <c r="AT314" s="2">
        <f t="shared" si="251"/>
        <v>0</v>
      </c>
      <c r="AU314" s="2">
        <f t="shared" si="251"/>
        <v>2027063.2</v>
      </c>
      <c r="AV314" s="2">
        <f t="shared" si="251"/>
        <v>1637817.2</v>
      </c>
      <c r="AW314" s="2">
        <f t="shared" si="251"/>
        <v>1637817.2</v>
      </c>
      <c r="AX314" s="2">
        <f t="shared" si="251"/>
        <v>0</v>
      </c>
      <c r="AY314" s="2">
        <f t="shared" si="251"/>
        <v>1637817.2</v>
      </c>
      <c r="AZ314" s="2">
        <f t="shared" si="251"/>
        <v>0</v>
      </c>
      <c r="BA314" s="2">
        <f t="shared" si="251"/>
        <v>0</v>
      </c>
      <c r="BB314" s="2">
        <f t="shared" si="251"/>
        <v>0</v>
      </c>
      <c r="BC314" s="2">
        <f t="shared" si="251"/>
        <v>0</v>
      </c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>
        <f>ROUND(SUMIF(AA304:AA312,"=37598633",FQ304:FQ312),2)</f>
        <v>0</v>
      </c>
      <c r="BY314" s="2">
        <f>ROUND(SUMIF(AA304:AA312,"=37598633",FR304:FR312),2)</f>
        <v>0</v>
      </c>
      <c r="BZ314" s="2">
        <f>ROUND(SUMIF(AA304:AA312,"=37598633",GL304:GL312),2)</f>
        <v>0</v>
      </c>
      <c r="CA314" s="2">
        <f>ROUND(SUMIF(AA304:AA312,"=37598633",GM304:GM312),2)</f>
        <v>2027063.2</v>
      </c>
      <c r="CB314" s="2">
        <f>ROUND(SUMIF(AA304:AA312,"=37598633",GN304:GN312),2)</f>
        <v>0</v>
      </c>
      <c r="CC314" s="2">
        <f>ROUND(SUMIF(AA304:AA312,"=37598633",GO304:GO312),2)</f>
        <v>0</v>
      </c>
      <c r="CD314" s="2">
        <f>ROUND(SUMIF(AA304:AA312,"=37598633",GP304:GP312),2)</f>
        <v>2027063.2</v>
      </c>
      <c r="CE314" s="2">
        <f>AC314-BX314</f>
        <v>1637817.2</v>
      </c>
      <c r="CF314" s="2">
        <f>AC314-BY314</f>
        <v>1637817.2</v>
      </c>
      <c r="CG314" s="2">
        <f>BX314-BZ314</f>
        <v>0</v>
      </c>
      <c r="CH314" s="2">
        <f>AC314-BX314-BY314+BZ314</f>
        <v>1637817.2</v>
      </c>
      <c r="CI314" s="2">
        <f>BY314-BZ314</f>
        <v>0</v>
      </c>
      <c r="CJ314" s="2">
        <f>ROUND(SUMIF(AA304:AA312,"=37598633",GX304:GX312),2)</f>
        <v>0</v>
      </c>
      <c r="CK314" s="2">
        <f>ROUND(SUMIF(AA304:AA312,"=37598633",GY304:GY312),2)</f>
        <v>0</v>
      </c>
      <c r="CL314" s="2">
        <f>ROUND(SUMIF(AA304:AA312,"=37598633",GZ304:GZ312),2)</f>
        <v>0</v>
      </c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>
        <v>0</v>
      </c>
    </row>
    <row r="316" spans="1:245" x14ac:dyDescent="0.2">
      <c r="A316" s="4">
        <v>50</v>
      </c>
      <c r="B316" s="4">
        <v>0</v>
      </c>
      <c r="C316" s="4">
        <v>0</v>
      </c>
      <c r="D316" s="4">
        <v>1</v>
      </c>
      <c r="E316" s="4">
        <v>201</v>
      </c>
      <c r="F316" s="4">
        <f>ROUND(Source!O314,O316)</f>
        <v>1901691.48</v>
      </c>
      <c r="G316" s="4" t="s">
        <v>55</v>
      </c>
      <c r="H316" s="4" t="s">
        <v>56</v>
      </c>
      <c r="I316" s="4"/>
      <c r="J316" s="4"/>
      <c r="K316" s="4">
        <v>-201</v>
      </c>
      <c r="L316" s="4">
        <v>1</v>
      </c>
      <c r="M316" s="4">
        <v>3</v>
      </c>
      <c r="N316" s="4" t="s">
        <v>3</v>
      </c>
      <c r="O316" s="4">
        <v>2</v>
      </c>
      <c r="P316" s="4"/>
      <c r="Q316" s="4"/>
      <c r="R316" s="4"/>
      <c r="S316" s="4"/>
      <c r="T316" s="4"/>
      <c r="U316" s="4"/>
      <c r="V316" s="4"/>
      <c r="W316" s="4"/>
    </row>
    <row r="317" spans="1:245" x14ac:dyDescent="0.2">
      <c r="A317" s="4">
        <v>50</v>
      </c>
      <c r="B317" s="4">
        <v>0</v>
      </c>
      <c r="C317" s="4">
        <v>0</v>
      </c>
      <c r="D317" s="4">
        <v>1</v>
      </c>
      <c r="E317" s="4">
        <v>202</v>
      </c>
      <c r="F317" s="4">
        <f>ROUND(Source!P314,O317)</f>
        <v>1637817.2</v>
      </c>
      <c r="G317" s="4" t="s">
        <v>57</v>
      </c>
      <c r="H317" s="4" t="s">
        <v>58</v>
      </c>
      <c r="I317" s="4"/>
      <c r="J317" s="4"/>
      <c r="K317" s="4">
        <v>-202</v>
      </c>
      <c r="L317" s="4">
        <v>2</v>
      </c>
      <c r="M317" s="4">
        <v>3</v>
      </c>
      <c r="N317" s="4" t="s">
        <v>3</v>
      </c>
      <c r="O317" s="4">
        <v>2</v>
      </c>
      <c r="P317" s="4"/>
      <c r="Q317" s="4"/>
      <c r="R317" s="4"/>
      <c r="S317" s="4"/>
      <c r="T317" s="4"/>
      <c r="U317" s="4"/>
      <c r="V317" s="4"/>
      <c r="W317" s="4"/>
    </row>
    <row r="318" spans="1:245" x14ac:dyDescent="0.2">
      <c r="A318" s="4">
        <v>50</v>
      </c>
      <c r="B318" s="4">
        <v>0</v>
      </c>
      <c r="C318" s="4">
        <v>0</v>
      </c>
      <c r="D318" s="4">
        <v>1</v>
      </c>
      <c r="E318" s="4">
        <v>222</v>
      </c>
      <c r="F318" s="4">
        <f>ROUND(Source!AO314,O318)</f>
        <v>0</v>
      </c>
      <c r="G318" s="4" t="s">
        <v>59</v>
      </c>
      <c r="H318" s="4" t="s">
        <v>60</v>
      </c>
      <c r="I318" s="4"/>
      <c r="J318" s="4"/>
      <c r="K318" s="4">
        <v>-222</v>
      </c>
      <c r="L318" s="4">
        <v>3</v>
      </c>
      <c r="M318" s="4">
        <v>3</v>
      </c>
      <c r="N318" s="4" t="s">
        <v>3</v>
      </c>
      <c r="O318" s="4">
        <v>2</v>
      </c>
      <c r="P318" s="4"/>
      <c r="Q318" s="4"/>
      <c r="R318" s="4"/>
      <c r="S318" s="4"/>
      <c r="T318" s="4"/>
      <c r="U318" s="4"/>
      <c r="V318" s="4"/>
      <c r="W318" s="4"/>
    </row>
    <row r="319" spans="1:245" x14ac:dyDescent="0.2">
      <c r="A319" s="4">
        <v>50</v>
      </c>
      <c r="B319" s="4">
        <v>0</v>
      </c>
      <c r="C319" s="4">
        <v>0</v>
      </c>
      <c r="D319" s="4">
        <v>1</v>
      </c>
      <c r="E319" s="4">
        <v>225</v>
      </c>
      <c r="F319" s="4">
        <f>ROUND(Source!AV314,O319)</f>
        <v>1637817.2</v>
      </c>
      <c r="G319" s="4" t="s">
        <v>61</v>
      </c>
      <c r="H319" s="4" t="s">
        <v>62</v>
      </c>
      <c r="I319" s="4"/>
      <c r="J319" s="4"/>
      <c r="K319" s="4">
        <v>-225</v>
      </c>
      <c r="L319" s="4">
        <v>4</v>
      </c>
      <c r="M319" s="4">
        <v>3</v>
      </c>
      <c r="N319" s="4" t="s">
        <v>3</v>
      </c>
      <c r="O319" s="4">
        <v>2</v>
      </c>
      <c r="P319" s="4"/>
      <c r="Q319" s="4"/>
      <c r="R319" s="4"/>
      <c r="S319" s="4"/>
      <c r="T319" s="4"/>
      <c r="U319" s="4"/>
      <c r="V319" s="4"/>
      <c r="W319" s="4"/>
    </row>
    <row r="320" spans="1:245" x14ac:dyDescent="0.2">
      <c r="A320" s="4">
        <v>50</v>
      </c>
      <c r="B320" s="4">
        <v>0</v>
      </c>
      <c r="C320" s="4">
        <v>0</v>
      </c>
      <c r="D320" s="4">
        <v>1</v>
      </c>
      <c r="E320" s="4">
        <v>226</v>
      </c>
      <c r="F320" s="4">
        <f>ROUND(Source!AW314,O320)</f>
        <v>1637817.2</v>
      </c>
      <c r="G320" s="4" t="s">
        <v>63</v>
      </c>
      <c r="H320" s="4" t="s">
        <v>64</v>
      </c>
      <c r="I320" s="4"/>
      <c r="J320" s="4"/>
      <c r="K320" s="4">
        <v>-226</v>
      </c>
      <c r="L320" s="4">
        <v>5</v>
      </c>
      <c r="M320" s="4">
        <v>3</v>
      </c>
      <c r="N320" s="4" t="s">
        <v>3</v>
      </c>
      <c r="O320" s="4">
        <v>2</v>
      </c>
      <c r="P320" s="4"/>
      <c r="Q320" s="4"/>
      <c r="R320" s="4"/>
      <c r="S320" s="4"/>
      <c r="T320" s="4"/>
      <c r="U320" s="4"/>
      <c r="V320" s="4"/>
      <c r="W320" s="4"/>
    </row>
    <row r="321" spans="1:23" x14ac:dyDescent="0.2">
      <c r="A321" s="4">
        <v>50</v>
      </c>
      <c r="B321" s="4">
        <v>0</v>
      </c>
      <c r="C321" s="4">
        <v>0</v>
      </c>
      <c r="D321" s="4">
        <v>1</v>
      </c>
      <c r="E321" s="4">
        <v>227</v>
      </c>
      <c r="F321" s="4">
        <f>ROUND(Source!AX314,O321)</f>
        <v>0</v>
      </c>
      <c r="G321" s="4" t="s">
        <v>65</v>
      </c>
      <c r="H321" s="4" t="s">
        <v>66</v>
      </c>
      <c r="I321" s="4"/>
      <c r="J321" s="4"/>
      <c r="K321" s="4">
        <v>-227</v>
      </c>
      <c r="L321" s="4">
        <v>6</v>
      </c>
      <c r="M321" s="4">
        <v>3</v>
      </c>
      <c r="N321" s="4" t="s">
        <v>3</v>
      </c>
      <c r="O321" s="4">
        <v>2</v>
      </c>
      <c r="P321" s="4"/>
      <c r="Q321" s="4"/>
      <c r="R321" s="4"/>
      <c r="S321" s="4"/>
      <c r="T321" s="4"/>
      <c r="U321" s="4"/>
      <c r="V321" s="4"/>
      <c r="W321" s="4"/>
    </row>
    <row r="322" spans="1:23" x14ac:dyDescent="0.2">
      <c r="A322" s="4">
        <v>50</v>
      </c>
      <c r="B322" s="4">
        <v>0</v>
      </c>
      <c r="C322" s="4">
        <v>0</v>
      </c>
      <c r="D322" s="4">
        <v>1</v>
      </c>
      <c r="E322" s="4">
        <v>228</v>
      </c>
      <c r="F322" s="4">
        <f>ROUND(Source!AY314,O322)</f>
        <v>1637817.2</v>
      </c>
      <c r="G322" s="4" t="s">
        <v>67</v>
      </c>
      <c r="H322" s="4" t="s">
        <v>68</v>
      </c>
      <c r="I322" s="4"/>
      <c r="J322" s="4"/>
      <c r="K322" s="4">
        <v>-228</v>
      </c>
      <c r="L322" s="4">
        <v>7</v>
      </c>
      <c r="M322" s="4">
        <v>3</v>
      </c>
      <c r="N322" s="4" t="s">
        <v>3</v>
      </c>
      <c r="O322" s="4">
        <v>2</v>
      </c>
      <c r="P322" s="4"/>
      <c r="Q322" s="4"/>
      <c r="R322" s="4"/>
      <c r="S322" s="4"/>
      <c r="T322" s="4"/>
      <c r="U322" s="4"/>
      <c r="V322" s="4"/>
      <c r="W322" s="4"/>
    </row>
    <row r="323" spans="1:23" x14ac:dyDescent="0.2">
      <c r="A323" s="4">
        <v>50</v>
      </c>
      <c r="B323" s="4">
        <v>0</v>
      </c>
      <c r="C323" s="4">
        <v>0</v>
      </c>
      <c r="D323" s="4">
        <v>1</v>
      </c>
      <c r="E323" s="4">
        <v>216</v>
      </c>
      <c r="F323" s="4">
        <f>ROUND(Source!AP314,O323)</f>
        <v>0</v>
      </c>
      <c r="G323" s="4" t="s">
        <v>69</v>
      </c>
      <c r="H323" s="4" t="s">
        <v>70</v>
      </c>
      <c r="I323" s="4"/>
      <c r="J323" s="4"/>
      <c r="K323" s="4">
        <v>-216</v>
      </c>
      <c r="L323" s="4">
        <v>8</v>
      </c>
      <c r="M323" s="4">
        <v>3</v>
      </c>
      <c r="N323" s="4" t="s">
        <v>3</v>
      </c>
      <c r="O323" s="4">
        <v>2</v>
      </c>
      <c r="P323" s="4"/>
      <c r="Q323" s="4"/>
      <c r="R323" s="4"/>
      <c r="S323" s="4"/>
      <c r="T323" s="4"/>
      <c r="U323" s="4"/>
      <c r="V323" s="4"/>
      <c r="W323" s="4"/>
    </row>
    <row r="324" spans="1:23" x14ac:dyDescent="0.2">
      <c r="A324" s="4">
        <v>50</v>
      </c>
      <c r="B324" s="4">
        <v>0</v>
      </c>
      <c r="C324" s="4">
        <v>0</v>
      </c>
      <c r="D324" s="4">
        <v>1</v>
      </c>
      <c r="E324" s="4">
        <v>223</v>
      </c>
      <c r="F324" s="4">
        <f>ROUND(Source!AQ314,O324)</f>
        <v>0</v>
      </c>
      <c r="G324" s="4" t="s">
        <v>71</v>
      </c>
      <c r="H324" s="4" t="s">
        <v>72</v>
      </c>
      <c r="I324" s="4"/>
      <c r="J324" s="4"/>
      <c r="K324" s="4">
        <v>-223</v>
      </c>
      <c r="L324" s="4">
        <v>9</v>
      </c>
      <c r="M324" s="4">
        <v>3</v>
      </c>
      <c r="N324" s="4" t="s">
        <v>3</v>
      </c>
      <c r="O324" s="4">
        <v>2</v>
      </c>
      <c r="P324" s="4"/>
      <c r="Q324" s="4"/>
      <c r="R324" s="4"/>
      <c r="S324" s="4"/>
      <c r="T324" s="4"/>
      <c r="U324" s="4"/>
      <c r="V324" s="4"/>
      <c r="W324" s="4"/>
    </row>
    <row r="325" spans="1:23" x14ac:dyDescent="0.2">
      <c r="A325" s="4">
        <v>50</v>
      </c>
      <c r="B325" s="4">
        <v>0</v>
      </c>
      <c r="C325" s="4">
        <v>0</v>
      </c>
      <c r="D325" s="4">
        <v>1</v>
      </c>
      <c r="E325" s="4">
        <v>229</v>
      </c>
      <c r="F325" s="4">
        <f>ROUND(Source!AZ314,O325)</f>
        <v>0</v>
      </c>
      <c r="G325" s="4" t="s">
        <v>73</v>
      </c>
      <c r="H325" s="4" t="s">
        <v>74</v>
      </c>
      <c r="I325" s="4"/>
      <c r="J325" s="4"/>
      <c r="K325" s="4">
        <v>-229</v>
      </c>
      <c r="L325" s="4">
        <v>10</v>
      </c>
      <c r="M325" s="4">
        <v>3</v>
      </c>
      <c r="N325" s="4" t="s">
        <v>3</v>
      </c>
      <c r="O325" s="4">
        <v>2</v>
      </c>
      <c r="P325" s="4"/>
      <c r="Q325" s="4"/>
      <c r="R325" s="4"/>
      <c r="S325" s="4"/>
      <c r="T325" s="4"/>
      <c r="U325" s="4"/>
      <c r="V325" s="4"/>
      <c r="W325" s="4"/>
    </row>
    <row r="326" spans="1:23" x14ac:dyDescent="0.2">
      <c r="A326" s="4">
        <v>50</v>
      </c>
      <c r="B326" s="4">
        <v>0</v>
      </c>
      <c r="C326" s="4">
        <v>0</v>
      </c>
      <c r="D326" s="4">
        <v>1</v>
      </c>
      <c r="E326" s="4">
        <v>203</v>
      </c>
      <c r="F326" s="4">
        <f>ROUND(Source!Q314,O326)</f>
        <v>183510.25</v>
      </c>
      <c r="G326" s="4" t="s">
        <v>75</v>
      </c>
      <c r="H326" s="4" t="s">
        <v>76</v>
      </c>
      <c r="I326" s="4"/>
      <c r="J326" s="4"/>
      <c r="K326" s="4">
        <v>-203</v>
      </c>
      <c r="L326" s="4">
        <v>11</v>
      </c>
      <c r="M326" s="4">
        <v>3</v>
      </c>
      <c r="N326" s="4" t="s">
        <v>3</v>
      </c>
      <c r="O326" s="4">
        <v>2</v>
      </c>
      <c r="P326" s="4"/>
      <c r="Q326" s="4"/>
      <c r="R326" s="4"/>
      <c r="S326" s="4"/>
      <c r="T326" s="4"/>
      <c r="U326" s="4"/>
      <c r="V326" s="4"/>
      <c r="W326" s="4"/>
    </row>
    <row r="327" spans="1:23" x14ac:dyDescent="0.2">
      <c r="A327" s="4">
        <v>50</v>
      </c>
      <c r="B327" s="4">
        <v>0</v>
      </c>
      <c r="C327" s="4">
        <v>0</v>
      </c>
      <c r="D327" s="4">
        <v>1</v>
      </c>
      <c r="E327" s="4">
        <v>231</v>
      </c>
      <c r="F327" s="4">
        <f>ROUND(Source!BB314,O327)</f>
        <v>0</v>
      </c>
      <c r="G327" s="4" t="s">
        <v>77</v>
      </c>
      <c r="H327" s="4" t="s">
        <v>78</v>
      </c>
      <c r="I327" s="4"/>
      <c r="J327" s="4"/>
      <c r="K327" s="4">
        <v>-231</v>
      </c>
      <c r="L327" s="4">
        <v>12</v>
      </c>
      <c r="M327" s="4">
        <v>3</v>
      </c>
      <c r="N327" s="4" t="s">
        <v>3</v>
      </c>
      <c r="O327" s="4">
        <v>2</v>
      </c>
      <c r="P327" s="4"/>
      <c r="Q327" s="4"/>
      <c r="R327" s="4"/>
      <c r="S327" s="4"/>
      <c r="T327" s="4"/>
      <c r="U327" s="4"/>
      <c r="V327" s="4"/>
      <c r="W327" s="4"/>
    </row>
    <row r="328" spans="1:23" x14ac:dyDescent="0.2">
      <c r="A328" s="4">
        <v>50</v>
      </c>
      <c r="B328" s="4">
        <v>0</v>
      </c>
      <c r="C328" s="4">
        <v>0</v>
      </c>
      <c r="D328" s="4">
        <v>1</v>
      </c>
      <c r="E328" s="4">
        <v>204</v>
      </c>
      <c r="F328" s="4">
        <f>ROUND(Source!R314,O328)</f>
        <v>105706.23</v>
      </c>
      <c r="G328" s="4" t="s">
        <v>79</v>
      </c>
      <c r="H328" s="4" t="s">
        <v>80</v>
      </c>
      <c r="I328" s="4"/>
      <c r="J328" s="4"/>
      <c r="K328" s="4">
        <v>-204</v>
      </c>
      <c r="L328" s="4">
        <v>13</v>
      </c>
      <c r="M328" s="4">
        <v>3</v>
      </c>
      <c r="N328" s="4" t="s">
        <v>3</v>
      </c>
      <c r="O328" s="4">
        <v>2</v>
      </c>
      <c r="P328" s="4"/>
      <c r="Q328" s="4"/>
      <c r="R328" s="4"/>
      <c r="S328" s="4"/>
      <c r="T328" s="4"/>
      <c r="U328" s="4"/>
      <c r="V328" s="4"/>
      <c r="W328" s="4"/>
    </row>
    <row r="329" spans="1:23" x14ac:dyDescent="0.2">
      <c r="A329" s="4">
        <v>50</v>
      </c>
      <c r="B329" s="4">
        <v>0</v>
      </c>
      <c r="C329" s="4">
        <v>0</v>
      </c>
      <c r="D329" s="4">
        <v>1</v>
      </c>
      <c r="E329" s="4">
        <v>205</v>
      </c>
      <c r="F329" s="4">
        <f>ROUND(Source!S314,O329)</f>
        <v>80364.03</v>
      </c>
      <c r="G329" s="4" t="s">
        <v>81</v>
      </c>
      <c r="H329" s="4" t="s">
        <v>82</v>
      </c>
      <c r="I329" s="4"/>
      <c r="J329" s="4"/>
      <c r="K329" s="4">
        <v>-205</v>
      </c>
      <c r="L329" s="4">
        <v>14</v>
      </c>
      <c r="M329" s="4">
        <v>3</v>
      </c>
      <c r="N329" s="4" t="s">
        <v>3</v>
      </c>
      <c r="O329" s="4">
        <v>2</v>
      </c>
      <c r="P329" s="4"/>
      <c r="Q329" s="4"/>
      <c r="R329" s="4"/>
      <c r="S329" s="4"/>
      <c r="T329" s="4"/>
      <c r="U329" s="4"/>
      <c r="V329" s="4"/>
      <c r="W329" s="4"/>
    </row>
    <row r="330" spans="1:23" x14ac:dyDescent="0.2">
      <c r="A330" s="4">
        <v>50</v>
      </c>
      <c r="B330" s="4">
        <v>0</v>
      </c>
      <c r="C330" s="4">
        <v>0</v>
      </c>
      <c r="D330" s="4">
        <v>1</v>
      </c>
      <c r="E330" s="4">
        <v>232</v>
      </c>
      <c r="F330" s="4">
        <f>ROUND(Source!BC314,O330)</f>
        <v>0</v>
      </c>
      <c r="G330" s="4" t="s">
        <v>83</v>
      </c>
      <c r="H330" s="4" t="s">
        <v>84</v>
      </c>
      <c r="I330" s="4"/>
      <c r="J330" s="4"/>
      <c r="K330" s="4">
        <v>-232</v>
      </c>
      <c r="L330" s="4">
        <v>15</v>
      </c>
      <c r="M330" s="4">
        <v>3</v>
      </c>
      <c r="N330" s="4" t="s">
        <v>3</v>
      </c>
      <c r="O330" s="4">
        <v>2</v>
      </c>
      <c r="P330" s="4"/>
      <c r="Q330" s="4"/>
      <c r="R330" s="4"/>
      <c r="S330" s="4"/>
      <c r="T330" s="4"/>
      <c r="U330" s="4"/>
      <c r="V330" s="4"/>
      <c r="W330" s="4"/>
    </row>
    <row r="331" spans="1:23" x14ac:dyDescent="0.2">
      <c r="A331" s="4">
        <v>50</v>
      </c>
      <c r="B331" s="4">
        <v>0</v>
      </c>
      <c r="C331" s="4">
        <v>0</v>
      </c>
      <c r="D331" s="4">
        <v>1</v>
      </c>
      <c r="E331" s="4">
        <v>214</v>
      </c>
      <c r="F331" s="4">
        <f>ROUND(Source!AS314,O331)</f>
        <v>0</v>
      </c>
      <c r="G331" s="4" t="s">
        <v>85</v>
      </c>
      <c r="H331" s="4" t="s">
        <v>86</v>
      </c>
      <c r="I331" s="4"/>
      <c r="J331" s="4"/>
      <c r="K331" s="4">
        <v>-214</v>
      </c>
      <c r="L331" s="4">
        <v>16</v>
      </c>
      <c r="M331" s="4">
        <v>3</v>
      </c>
      <c r="N331" s="4" t="s">
        <v>3</v>
      </c>
      <c r="O331" s="4">
        <v>2</v>
      </c>
      <c r="P331" s="4"/>
      <c r="Q331" s="4"/>
      <c r="R331" s="4"/>
      <c r="S331" s="4"/>
      <c r="T331" s="4"/>
      <c r="U331" s="4"/>
      <c r="V331" s="4"/>
      <c r="W331" s="4"/>
    </row>
    <row r="332" spans="1:23" x14ac:dyDescent="0.2">
      <c r="A332" s="4">
        <v>50</v>
      </c>
      <c r="B332" s="4">
        <v>0</v>
      </c>
      <c r="C332" s="4">
        <v>0</v>
      </c>
      <c r="D332" s="4">
        <v>1</v>
      </c>
      <c r="E332" s="4">
        <v>215</v>
      </c>
      <c r="F332" s="4">
        <f>ROUND(Source!AT314,O332)</f>
        <v>0</v>
      </c>
      <c r="G332" s="4" t="s">
        <v>87</v>
      </c>
      <c r="H332" s="4" t="s">
        <v>88</v>
      </c>
      <c r="I332" s="4"/>
      <c r="J332" s="4"/>
      <c r="K332" s="4">
        <v>-215</v>
      </c>
      <c r="L332" s="4">
        <v>17</v>
      </c>
      <c r="M332" s="4">
        <v>3</v>
      </c>
      <c r="N332" s="4" t="s">
        <v>3</v>
      </c>
      <c r="O332" s="4">
        <v>2</v>
      </c>
      <c r="P332" s="4"/>
      <c r="Q332" s="4"/>
      <c r="R332" s="4"/>
      <c r="S332" s="4"/>
      <c r="T332" s="4"/>
      <c r="U332" s="4"/>
      <c r="V332" s="4"/>
      <c r="W332" s="4"/>
    </row>
    <row r="333" spans="1:23" x14ac:dyDescent="0.2">
      <c r="A333" s="4">
        <v>50</v>
      </c>
      <c r="B333" s="4">
        <v>0</v>
      </c>
      <c r="C333" s="4">
        <v>0</v>
      </c>
      <c r="D333" s="4">
        <v>1</v>
      </c>
      <c r="E333" s="4">
        <v>217</v>
      </c>
      <c r="F333" s="4">
        <f>ROUND(Source!AU314,O333)</f>
        <v>2027063.2</v>
      </c>
      <c r="G333" s="4" t="s">
        <v>89</v>
      </c>
      <c r="H333" s="4" t="s">
        <v>90</v>
      </c>
      <c r="I333" s="4"/>
      <c r="J333" s="4"/>
      <c r="K333" s="4">
        <v>-217</v>
      </c>
      <c r="L333" s="4">
        <v>18</v>
      </c>
      <c r="M333" s="4">
        <v>3</v>
      </c>
      <c r="N333" s="4" t="s">
        <v>3</v>
      </c>
      <c r="O333" s="4">
        <v>2</v>
      </c>
      <c r="P333" s="4"/>
      <c r="Q333" s="4"/>
      <c r="R333" s="4"/>
      <c r="S333" s="4"/>
      <c r="T333" s="4"/>
      <c r="U333" s="4"/>
      <c r="V333" s="4"/>
      <c r="W333" s="4"/>
    </row>
    <row r="334" spans="1:23" x14ac:dyDescent="0.2">
      <c r="A334" s="4">
        <v>50</v>
      </c>
      <c r="B334" s="4">
        <v>0</v>
      </c>
      <c r="C334" s="4">
        <v>0</v>
      </c>
      <c r="D334" s="4">
        <v>1</v>
      </c>
      <c r="E334" s="4">
        <v>230</v>
      </c>
      <c r="F334" s="4">
        <f>ROUND(Source!BA314,O334)</f>
        <v>0</v>
      </c>
      <c r="G334" s="4" t="s">
        <v>91</v>
      </c>
      <c r="H334" s="4" t="s">
        <v>92</v>
      </c>
      <c r="I334" s="4"/>
      <c r="J334" s="4"/>
      <c r="K334" s="4">
        <v>-230</v>
      </c>
      <c r="L334" s="4">
        <v>19</v>
      </c>
      <c r="M334" s="4">
        <v>3</v>
      </c>
      <c r="N334" s="4" t="s">
        <v>3</v>
      </c>
      <c r="O334" s="4">
        <v>2</v>
      </c>
      <c r="P334" s="4"/>
      <c r="Q334" s="4"/>
      <c r="R334" s="4"/>
      <c r="S334" s="4"/>
      <c r="T334" s="4"/>
      <c r="U334" s="4"/>
      <c r="V334" s="4"/>
      <c r="W334" s="4"/>
    </row>
    <row r="335" spans="1:23" x14ac:dyDescent="0.2">
      <c r="A335" s="4">
        <v>50</v>
      </c>
      <c r="B335" s="4">
        <v>0</v>
      </c>
      <c r="C335" s="4">
        <v>0</v>
      </c>
      <c r="D335" s="4">
        <v>1</v>
      </c>
      <c r="E335" s="4">
        <v>206</v>
      </c>
      <c r="F335" s="4">
        <f>ROUND(Source!T314,O335)</f>
        <v>0</v>
      </c>
      <c r="G335" s="4" t="s">
        <v>93</v>
      </c>
      <c r="H335" s="4" t="s">
        <v>94</v>
      </c>
      <c r="I335" s="4"/>
      <c r="J335" s="4"/>
      <c r="K335" s="4">
        <v>-206</v>
      </c>
      <c r="L335" s="4">
        <v>20</v>
      </c>
      <c r="M335" s="4">
        <v>3</v>
      </c>
      <c r="N335" s="4" t="s">
        <v>3</v>
      </c>
      <c r="O335" s="4">
        <v>2</v>
      </c>
      <c r="P335" s="4"/>
      <c r="Q335" s="4"/>
      <c r="R335" s="4"/>
      <c r="S335" s="4"/>
      <c r="T335" s="4"/>
      <c r="U335" s="4"/>
      <c r="V335" s="4"/>
      <c r="W335" s="4"/>
    </row>
    <row r="336" spans="1:23" x14ac:dyDescent="0.2">
      <c r="A336" s="4">
        <v>50</v>
      </c>
      <c r="B336" s="4">
        <v>0</v>
      </c>
      <c r="C336" s="4">
        <v>0</v>
      </c>
      <c r="D336" s="4">
        <v>1</v>
      </c>
      <c r="E336" s="4">
        <v>207</v>
      </c>
      <c r="F336" s="4">
        <f>Source!U314</f>
        <v>439.92622</v>
      </c>
      <c r="G336" s="4" t="s">
        <v>95</v>
      </c>
      <c r="H336" s="4" t="s">
        <v>96</v>
      </c>
      <c r="I336" s="4"/>
      <c r="J336" s="4"/>
      <c r="K336" s="4">
        <v>-207</v>
      </c>
      <c r="L336" s="4">
        <v>21</v>
      </c>
      <c r="M336" s="4">
        <v>3</v>
      </c>
      <c r="N336" s="4" t="s">
        <v>3</v>
      </c>
      <c r="O336" s="4">
        <v>-1</v>
      </c>
      <c r="P336" s="4"/>
      <c r="Q336" s="4"/>
      <c r="R336" s="4"/>
      <c r="S336" s="4"/>
      <c r="T336" s="4"/>
      <c r="U336" s="4"/>
      <c r="V336" s="4"/>
      <c r="W336" s="4"/>
    </row>
    <row r="337" spans="1:245" x14ac:dyDescent="0.2">
      <c r="A337" s="4">
        <v>50</v>
      </c>
      <c r="B337" s="4">
        <v>0</v>
      </c>
      <c r="C337" s="4">
        <v>0</v>
      </c>
      <c r="D337" s="4">
        <v>1</v>
      </c>
      <c r="E337" s="4">
        <v>208</v>
      </c>
      <c r="F337" s="4">
        <f>Source!V314</f>
        <v>0</v>
      </c>
      <c r="G337" s="4" t="s">
        <v>97</v>
      </c>
      <c r="H337" s="4" t="s">
        <v>98</v>
      </c>
      <c r="I337" s="4"/>
      <c r="J337" s="4"/>
      <c r="K337" s="4">
        <v>-208</v>
      </c>
      <c r="L337" s="4">
        <v>22</v>
      </c>
      <c r="M337" s="4">
        <v>3</v>
      </c>
      <c r="N337" s="4" t="s">
        <v>3</v>
      </c>
      <c r="O337" s="4">
        <v>-1</v>
      </c>
      <c r="P337" s="4"/>
      <c r="Q337" s="4"/>
      <c r="R337" s="4"/>
      <c r="S337" s="4"/>
      <c r="T337" s="4"/>
      <c r="U337" s="4"/>
      <c r="V337" s="4"/>
      <c r="W337" s="4"/>
    </row>
    <row r="338" spans="1:245" x14ac:dyDescent="0.2">
      <c r="A338" s="4">
        <v>50</v>
      </c>
      <c r="B338" s="4">
        <v>0</v>
      </c>
      <c r="C338" s="4">
        <v>0</v>
      </c>
      <c r="D338" s="4">
        <v>1</v>
      </c>
      <c r="E338" s="4">
        <v>209</v>
      </c>
      <c r="F338" s="4">
        <f>ROUND(Source!W314,O338)</f>
        <v>0</v>
      </c>
      <c r="G338" s="4" t="s">
        <v>99</v>
      </c>
      <c r="H338" s="4" t="s">
        <v>100</v>
      </c>
      <c r="I338" s="4"/>
      <c r="J338" s="4"/>
      <c r="K338" s="4">
        <v>-209</v>
      </c>
      <c r="L338" s="4">
        <v>23</v>
      </c>
      <c r="M338" s="4">
        <v>3</v>
      </c>
      <c r="N338" s="4" t="s">
        <v>3</v>
      </c>
      <c r="O338" s="4">
        <v>2</v>
      </c>
      <c r="P338" s="4"/>
      <c r="Q338" s="4"/>
      <c r="R338" s="4"/>
      <c r="S338" s="4"/>
      <c r="T338" s="4"/>
      <c r="U338" s="4"/>
      <c r="V338" s="4"/>
      <c r="W338" s="4"/>
    </row>
    <row r="339" spans="1:245" x14ac:dyDescent="0.2">
      <c r="A339" s="4">
        <v>50</v>
      </c>
      <c r="B339" s="4">
        <v>0</v>
      </c>
      <c r="C339" s="4">
        <v>0</v>
      </c>
      <c r="D339" s="4">
        <v>1</v>
      </c>
      <c r="E339" s="4">
        <v>210</v>
      </c>
      <c r="F339" s="4">
        <f>ROUND(Source!X314,O339)</f>
        <v>56417.07</v>
      </c>
      <c r="G339" s="4" t="s">
        <v>101</v>
      </c>
      <c r="H339" s="4" t="s">
        <v>102</v>
      </c>
      <c r="I339" s="4"/>
      <c r="J339" s="4"/>
      <c r="K339" s="4">
        <v>-210</v>
      </c>
      <c r="L339" s="4">
        <v>24</v>
      </c>
      <c r="M339" s="4">
        <v>3</v>
      </c>
      <c r="N339" s="4" t="s">
        <v>3</v>
      </c>
      <c r="O339" s="4">
        <v>2</v>
      </c>
      <c r="P339" s="4"/>
      <c r="Q339" s="4"/>
      <c r="R339" s="4"/>
      <c r="S339" s="4"/>
      <c r="T339" s="4"/>
      <c r="U339" s="4"/>
      <c r="V339" s="4"/>
      <c r="W339" s="4"/>
    </row>
    <row r="340" spans="1:245" x14ac:dyDescent="0.2">
      <c r="A340" s="4">
        <v>50</v>
      </c>
      <c r="B340" s="4">
        <v>0</v>
      </c>
      <c r="C340" s="4">
        <v>0</v>
      </c>
      <c r="D340" s="4">
        <v>1</v>
      </c>
      <c r="E340" s="4">
        <v>211</v>
      </c>
      <c r="F340" s="4">
        <f>ROUND(Source!Y314,O340)</f>
        <v>8036.4</v>
      </c>
      <c r="G340" s="4" t="s">
        <v>103</v>
      </c>
      <c r="H340" s="4" t="s">
        <v>104</v>
      </c>
      <c r="I340" s="4"/>
      <c r="J340" s="4"/>
      <c r="K340" s="4">
        <v>-211</v>
      </c>
      <c r="L340" s="4">
        <v>25</v>
      </c>
      <c r="M340" s="4">
        <v>3</v>
      </c>
      <c r="N340" s="4" t="s">
        <v>3</v>
      </c>
      <c r="O340" s="4">
        <v>2</v>
      </c>
      <c r="P340" s="4"/>
      <c r="Q340" s="4"/>
      <c r="R340" s="4"/>
      <c r="S340" s="4"/>
      <c r="T340" s="4"/>
      <c r="U340" s="4"/>
      <c r="V340" s="4"/>
      <c r="W340" s="4"/>
    </row>
    <row r="341" spans="1:245" x14ac:dyDescent="0.2">
      <c r="A341" s="4">
        <v>50</v>
      </c>
      <c r="B341" s="4">
        <v>0</v>
      </c>
      <c r="C341" s="4">
        <v>0</v>
      </c>
      <c r="D341" s="4">
        <v>1</v>
      </c>
      <c r="E341" s="4">
        <v>224</v>
      </c>
      <c r="F341" s="4">
        <f>ROUND(Source!AR314,O341)</f>
        <v>2027063.2</v>
      </c>
      <c r="G341" s="4" t="s">
        <v>105</v>
      </c>
      <c r="H341" s="4" t="s">
        <v>106</v>
      </c>
      <c r="I341" s="4"/>
      <c r="J341" s="4"/>
      <c r="K341" s="4">
        <v>-224</v>
      </c>
      <c r="L341" s="4">
        <v>26</v>
      </c>
      <c r="M341" s="4">
        <v>3</v>
      </c>
      <c r="N341" s="4" t="s">
        <v>3</v>
      </c>
      <c r="O341" s="4">
        <v>2</v>
      </c>
      <c r="P341" s="4"/>
      <c r="Q341" s="4"/>
      <c r="R341" s="4"/>
      <c r="S341" s="4"/>
      <c r="T341" s="4"/>
      <c r="U341" s="4"/>
      <c r="V341" s="4"/>
      <c r="W341" s="4"/>
    </row>
    <row r="343" spans="1:245" x14ac:dyDescent="0.2">
      <c r="A343" s="1">
        <v>4</v>
      </c>
      <c r="B343" s="1">
        <v>1</v>
      </c>
      <c r="C343" s="1"/>
      <c r="D343" s="1">
        <f>ROW(A358)</f>
        <v>358</v>
      </c>
      <c r="E343" s="1"/>
      <c r="F343" s="1" t="s">
        <v>12</v>
      </c>
      <c r="G343" s="1" t="s">
        <v>189</v>
      </c>
      <c r="H343" s="1" t="s">
        <v>3</v>
      </c>
      <c r="I343" s="1">
        <v>0</v>
      </c>
      <c r="J343" s="1"/>
      <c r="K343" s="1">
        <v>0</v>
      </c>
      <c r="L343" s="1"/>
      <c r="M343" s="1"/>
      <c r="N343" s="1"/>
      <c r="O343" s="1"/>
      <c r="P343" s="1"/>
      <c r="Q343" s="1"/>
      <c r="R343" s="1"/>
      <c r="S343" s="1"/>
      <c r="T343" s="1"/>
      <c r="U343" s="1" t="s">
        <v>3</v>
      </c>
      <c r="V343" s="1">
        <v>0</v>
      </c>
      <c r="W343" s="1"/>
      <c r="X343" s="1"/>
      <c r="Y343" s="1"/>
      <c r="Z343" s="1"/>
      <c r="AA343" s="1"/>
      <c r="AB343" s="1" t="s">
        <v>3</v>
      </c>
      <c r="AC343" s="1" t="s">
        <v>3</v>
      </c>
      <c r="AD343" s="1" t="s">
        <v>3</v>
      </c>
      <c r="AE343" s="1" t="s">
        <v>3</v>
      </c>
      <c r="AF343" s="1" t="s">
        <v>3</v>
      </c>
      <c r="AG343" s="1" t="s">
        <v>3</v>
      </c>
      <c r="AH343" s="1"/>
      <c r="AI343" s="1"/>
      <c r="AJ343" s="1"/>
      <c r="AK343" s="1"/>
      <c r="AL343" s="1"/>
      <c r="AM343" s="1"/>
      <c r="AN343" s="1"/>
      <c r="AO343" s="1"/>
      <c r="AP343" s="1" t="s">
        <v>3</v>
      </c>
      <c r="AQ343" s="1" t="s">
        <v>3</v>
      </c>
      <c r="AR343" s="1" t="s">
        <v>3</v>
      </c>
      <c r="AS343" s="1"/>
      <c r="AT343" s="1"/>
      <c r="AU343" s="1"/>
      <c r="AV343" s="1"/>
      <c r="AW343" s="1"/>
      <c r="AX343" s="1"/>
      <c r="AY343" s="1"/>
      <c r="AZ343" s="1" t="s">
        <v>3</v>
      </c>
      <c r="BA343" s="1"/>
      <c r="BB343" s="1" t="s">
        <v>3</v>
      </c>
      <c r="BC343" s="1" t="s">
        <v>3</v>
      </c>
      <c r="BD343" s="1" t="s">
        <v>3</v>
      </c>
      <c r="BE343" s="1" t="s">
        <v>3</v>
      </c>
      <c r="BF343" s="1" t="s">
        <v>3</v>
      </c>
      <c r="BG343" s="1" t="s">
        <v>3</v>
      </c>
      <c r="BH343" s="1" t="s">
        <v>3</v>
      </c>
      <c r="BI343" s="1" t="s">
        <v>3</v>
      </c>
      <c r="BJ343" s="1" t="s">
        <v>3</v>
      </c>
      <c r="BK343" s="1" t="s">
        <v>3</v>
      </c>
      <c r="BL343" s="1" t="s">
        <v>3</v>
      </c>
      <c r="BM343" s="1" t="s">
        <v>3</v>
      </c>
      <c r="BN343" s="1" t="s">
        <v>3</v>
      </c>
      <c r="BO343" s="1" t="s">
        <v>3</v>
      </c>
      <c r="BP343" s="1" t="s">
        <v>3</v>
      </c>
      <c r="BQ343" s="1"/>
      <c r="BR343" s="1"/>
      <c r="BS343" s="1"/>
      <c r="BT343" s="1"/>
      <c r="BU343" s="1"/>
      <c r="BV343" s="1"/>
      <c r="BW343" s="1"/>
      <c r="BX343" s="1">
        <v>0</v>
      </c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>
        <v>0</v>
      </c>
    </row>
    <row r="345" spans="1:245" x14ac:dyDescent="0.2">
      <c r="A345" s="2">
        <v>52</v>
      </c>
      <c r="B345" s="2">
        <f t="shared" ref="B345:G345" si="252">B358</f>
        <v>1</v>
      </c>
      <c r="C345" s="2">
        <f t="shared" si="252"/>
        <v>4</v>
      </c>
      <c r="D345" s="2">
        <f t="shared" si="252"/>
        <v>343</v>
      </c>
      <c r="E345" s="2">
        <f t="shared" si="252"/>
        <v>0</v>
      </c>
      <c r="F345" s="2" t="str">
        <f t="shared" si="252"/>
        <v>Новый раздел</v>
      </c>
      <c r="G345" s="2" t="str">
        <f t="shared" si="252"/>
        <v>Устройство прыжковой ямы и полиуретановой дорожки</v>
      </c>
      <c r="H345" s="2"/>
      <c r="I345" s="2"/>
      <c r="J345" s="2"/>
      <c r="K345" s="2"/>
      <c r="L345" s="2"/>
      <c r="M345" s="2"/>
      <c r="N345" s="2"/>
      <c r="O345" s="2">
        <f t="shared" ref="O345:AT345" si="253">O358</f>
        <v>17992.939999999999</v>
      </c>
      <c r="P345" s="2">
        <f t="shared" si="253"/>
        <v>13844.69</v>
      </c>
      <c r="Q345" s="2">
        <f t="shared" si="253"/>
        <v>2584.2399999999998</v>
      </c>
      <c r="R345" s="2">
        <f t="shared" si="253"/>
        <v>1623.03</v>
      </c>
      <c r="S345" s="2">
        <f t="shared" si="253"/>
        <v>1564.01</v>
      </c>
      <c r="T345" s="2">
        <f t="shared" si="253"/>
        <v>0</v>
      </c>
      <c r="U345" s="2">
        <f t="shared" si="253"/>
        <v>10.53936</v>
      </c>
      <c r="V345" s="2">
        <f t="shared" si="253"/>
        <v>0</v>
      </c>
      <c r="W345" s="2">
        <f t="shared" si="253"/>
        <v>0</v>
      </c>
      <c r="X345" s="2">
        <f t="shared" si="253"/>
        <v>1094.81</v>
      </c>
      <c r="Y345" s="2">
        <f t="shared" si="253"/>
        <v>156.41</v>
      </c>
      <c r="Z345" s="2">
        <f t="shared" si="253"/>
        <v>0</v>
      </c>
      <c r="AA345" s="2">
        <f t="shared" si="253"/>
        <v>0</v>
      </c>
      <c r="AB345" s="2">
        <f t="shared" si="253"/>
        <v>17992.939999999999</v>
      </c>
      <c r="AC345" s="2">
        <f t="shared" si="253"/>
        <v>13844.69</v>
      </c>
      <c r="AD345" s="2">
        <f t="shared" si="253"/>
        <v>2584.2399999999998</v>
      </c>
      <c r="AE345" s="2">
        <f t="shared" si="253"/>
        <v>1623.03</v>
      </c>
      <c r="AF345" s="2">
        <f t="shared" si="253"/>
        <v>1564.01</v>
      </c>
      <c r="AG345" s="2">
        <f t="shared" si="253"/>
        <v>0</v>
      </c>
      <c r="AH345" s="2">
        <f t="shared" si="253"/>
        <v>10.53936</v>
      </c>
      <c r="AI345" s="2">
        <f t="shared" si="253"/>
        <v>0</v>
      </c>
      <c r="AJ345" s="2">
        <f t="shared" si="253"/>
        <v>0</v>
      </c>
      <c r="AK345" s="2">
        <f t="shared" si="253"/>
        <v>1094.81</v>
      </c>
      <c r="AL345" s="2">
        <f t="shared" si="253"/>
        <v>156.41</v>
      </c>
      <c r="AM345" s="2">
        <f t="shared" si="253"/>
        <v>0</v>
      </c>
      <c r="AN345" s="2">
        <f t="shared" si="253"/>
        <v>0</v>
      </c>
      <c r="AO345" s="2">
        <f t="shared" si="253"/>
        <v>0</v>
      </c>
      <c r="AP345" s="2">
        <f t="shared" si="253"/>
        <v>0</v>
      </c>
      <c r="AQ345" s="2">
        <f t="shared" si="253"/>
        <v>0</v>
      </c>
      <c r="AR345" s="2">
        <f t="shared" si="253"/>
        <v>19776.02</v>
      </c>
      <c r="AS345" s="2">
        <f t="shared" si="253"/>
        <v>0</v>
      </c>
      <c r="AT345" s="2">
        <f t="shared" si="253"/>
        <v>0</v>
      </c>
      <c r="AU345" s="2">
        <f t="shared" ref="AU345:BZ345" si="254">AU358</f>
        <v>19776.02</v>
      </c>
      <c r="AV345" s="2">
        <f t="shared" si="254"/>
        <v>13844.69</v>
      </c>
      <c r="AW345" s="2">
        <f t="shared" si="254"/>
        <v>13844.69</v>
      </c>
      <c r="AX345" s="2">
        <f t="shared" si="254"/>
        <v>0</v>
      </c>
      <c r="AY345" s="2">
        <f t="shared" si="254"/>
        <v>13844.69</v>
      </c>
      <c r="AZ345" s="2">
        <f t="shared" si="254"/>
        <v>0</v>
      </c>
      <c r="BA345" s="2">
        <f t="shared" si="254"/>
        <v>0</v>
      </c>
      <c r="BB345" s="2">
        <f t="shared" si="254"/>
        <v>0</v>
      </c>
      <c r="BC345" s="2">
        <f t="shared" si="254"/>
        <v>0</v>
      </c>
      <c r="BD345" s="2">
        <f t="shared" si="254"/>
        <v>0</v>
      </c>
      <c r="BE345" s="2">
        <f t="shared" si="254"/>
        <v>0</v>
      </c>
      <c r="BF345" s="2">
        <f t="shared" si="254"/>
        <v>0</v>
      </c>
      <c r="BG345" s="2">
        <f t="shared" si="254"/>
        <v>0</v>
      </c>
      <c r="BH345" s="2">
        <f t="shared" si="254"/>
        <v>0</v>
      </c>
      <c r="BI345" s="2">
        <f t="shared" si="254"/>
        <v>0</v>
      </c>
      <c r="BJ345" s="2">
        <f t="shared" si="254"/>
        <v>0</v>
      </c>
      <c r="BK345" s="2">
        <f t="shared" si="254"/>
        <v>0</v>
      </c>
      <c r="BL345" s="2">
        <f t="shared" si="254"/>
        <v>0</v>
      </c>
      <c r="BM345" s="2">
        <f t="shared" si="254"/>
        <v>0</v>
      </c>
      <c r="BN345" s="2">
        <f t="shared" si="254"/>
        <v>0</v>
      </c>
      <c r="BO345" s="2">
        <f t="shared" si="254"/>
        <v>0</v>
      </c>
      <c r="BP345" s="2">
        <f t="shared" si="254"/>
        <v>0</v>
      </c>
      <c r="BQ345" s="2">
        <f t="shared" si="254"/>
        <v>0</v>
      </c>
      <c r="BR345" s="2">
        <f t="shared" si="254"/>
        <v>0</v>
      </c>
      <c r="BS345" s="2">
        <f t="shared" si="254"/>
        <v>0</v>
      </c>
      <c r="BT345" s="2">
        <f t="shared" si="254"/>
        <v>0</v>
      </c>
      <c r="BU345" s="2">
        <f t="shared" si="254"/>
        <v>0</v>
      </c>
      <c r="BV345" s="2">
        <f t="shared" si="254"/>
        <v>0</v>
      </c>
      <c r="BW345" s="2">
        <f t="shared" si="254"/>
        <v>0</v>
      </c>
      <c r="BX345" s="2">
        <f t="shared" si="254"/>
        <v>0</v>
      </c>
      <c r="BY345" s="2">
        <f t="shared" si="254"/>
        <v>0</v>
      </c>
      <c r="BZ345" s="2">
        <f t="shared" si="254"/>
        <v>0</v>
      </c>
      <c r="CA345" s="2">
        <f t="shared" ref="CA345:DF345" si="255">CA358</f>
        <v>19776.02</v>
      </c>
      <c r="CB345" s="2">
        <f t="shared" si="255"/>
        <v>0</v>
      </c>
      <c r="CC345" s="2">
        <f t="shared" si="255"/>
        <v>0</v>
      </c>
      <c r="CD345" s="2">
        <f t="shared" si="255"/>
        <v>19776.02</v>
      </c>
      <c r="CE345" s="2">
        <f t="shared" si="255"/>
        <v>13844.69</v>
      </c>
      <c r="CF345" s="2">
        <f t="shared" si="255"/>
        <v>13844.69</v>
      </c>
      <c r="CG345" s="2">
        <f t="shared" si="255"/>
        <v>0</v>
      </c>
      <c r="CH345" s="2">
        <f t="shared" si="255"/>
        <v>13844.69</v>
      </c>
      <c r="CI345" s="2">
        <f t="shared" si="255"/>
        <v>0</v>
      </c>
      <c r="CJ345" s="2">
        <f t="shared" si="255"/>
        <v>0</v>
      </c>
      <c r="CK345" s="2">
        <f t="shared" si="255"/>
        <v>0</v>
      </c>
      <c r="CL345" s="2">
        <f t="shared" si="255"/>
        <v>0</v>
      </c>
      <c r="CM345" s="2">
        <f t="shared" si="255"/>
        <v>0</v>
      </c>
      <c r="CN345" s="2">
        <f t="shared" si="255"/>
        <v>0</v>
      </c>
      <c r="CO345" s="2">
        <f t="shared" si="255"/>
        <v>0</v>
      </c>
      <c r="CP345" s="2">
        <f t="shared" si="255"/>
        <v>0</v>
      </c>
      <c r="CQ345" s="2">
        <f t="shared" si="255"/>
        <v>0</v>
      </c>
      <c r="CR345" s="2">
        <f t="shared" si="255"/>
        <v>0</v>
      </c>
      <c r="CS345" s="2">
        <f t="shared" si="255"/>
        <v>0</v>
      </c>
      <c r="CT345" s="2">
        <f t="shared" si="255"/>
        <v>0</v>
      </c>
      <c r="CU345" s="2">
        <f t="shared" si="255"/>
        <v>0</v>
      </c>
      <c r="CV345" s="2">
        <f t="shared" si="255"/>
        <v>0</v>
      </c>
      <c r="CW345" s="2">
        <f t="shared" si="255"/>
        <v>0</v>
      </c>
      <c r="CX345" s="2">
        <f t="shared" si="255"/>
        <v>0</v>
      </c>
      <c r="CY345" s="2">
        <f t="shared" si="255"/>
        <v>0</v>
      </c>
      <c r="CZ345" s="2">
        <f t="shared" si="255"/>
        <v>0</v>
      </c>
      <c r="DA345" s="2">
        <f t="shared" si="255"/>
        <v>0</v>
      </c>
      <c r="DB345" s="2">
        <f t="shared" si="255"/>
        <v>0</v>
      </c>
      <c r="DC345" s="2">
        <f t="shared" si="255"/>
        <v>0</v>
      </c>
      <c r="DD345" s="2">
        <f t="shared" si="255"/>
        <v>0</v>
      </c>
      <c r="DE345" s="2">
        <f t="shared" si="255"/>
        <v>0</v>
      </c>
      <c r="DF345" s="2">
        <f t="shared" si="255"/>
        <v>0</v>
      </c>
      <c r="DG345" s="3">
        <f t="shared" ref="DG345:EL345" si="256">DG358</f>
        <v>0</v>
      </c>
      <c r="DH345" s="3">
        <f t="shared" si="256"/>
        <v>0</v>
      </c>
      <c r="DI345" s="3">
        <f t="shared" si="256"/>
        <v>0</v>
      </c>
      <c r="DJ345" s="3">
        <f t="shared" si="256"/>
        <v>0</v>
      </c>
      <c r="DK345" s="3">
        <f t="shared" si="256"/>
        <v>0</v>
      </c>
      <c r="DL345" s="3">
        <f t="shared" si="256"/>
        <v>0</v>
      </c>
      <c r="DM345" s="3">
        <f t="shared" si="256"/>
        <v>0</v>
      </c>
      <c r="DN345" s="3">
        <f t="shared" si="256"/>
        <v>0</v>
      </c>
      <c r="DO345" s="3">
        <f t="shared" si="256"/>
        <v>0</v>
      </c>
      <c r="DP345" s="3">
        <f t="shared" si="256"/>
        <v>0</v>
      </c>
      <c r="DQ345" s="3">
        <f t="shared" si="256"/>
        <v>0</v>
      </c>
      <c r="DR345" s="3">
        <f t="shared" si="256"/>
        <v>0</v>
      </c>
      <c r="DS345" s="3">
        <f t="shared" si="256"/>
        <v>0</v>
      </c>
      <c r="DT345" s="3">
        <f t="shared" si="256"/>
        <v>0</v>
      </c>
      <c r="DU345" s="3">
        <f t="shared" si="256"/>
        <v>0</v>
      </c>
      <c r="DV345" s="3">
        <f t="shared" si="256"/>
        <v>0</v>
      </c>
      <c r="DW345" s="3">
        <f t="shared" si="256"/>
        <v>0</v>
      </c>
      <c r="DX345" s="3">
        <f t="shared" si="256"/>
        <v>0</v>
      </c>
      <c r="DY345" s="3">
        <f t="shared" si="256"/>
        <v>0</v>
      </c>
      <c r="DZ345" s="3">
        <f t="shared" si="256"/>
        <v>0</v>
      </c>
      <c r="EA345" s="3">
        <f t="shared" si="256"/>
        <v>0</v>
      </c>
      <c r="EB345" s="3">
        <f t="shared" si="256"/>
        <v>0</v>
      </c>
      <c r="EC345" s="3">
        <f t="shared" si="256"/>
        <v>0</v>
      </c>
      <c r="ED345" s="3">
        <f t="shared" si="256"/>
        <v>0</v>
      </c>
      <c r="EE345" s="3">
        <f t="shared" si="256"/>
        <v>0</v>
      </c>
      <c r="EF345" s="3">
        <f t="shared" si="256"/>
        <v>0</v>
      </c>
      <c r="EG345" s="3">
        <f t="shared" si="256"/>
        <v>0</v>
      </c>
      <c r="EH345" s="3">
        <f t="shared" si="256"/>
        <v>0</v>
      </c>
      <c r="EI345" s="3">
        <f t="shared" si="256"/>
        <v>0</v>
      </c>
      <c r="EJ345" s="3">
        <f t="shared" si="256"/>
        <v>0</v>
      </c>
      <c r="EK345" s="3">
        <f t="shared" si="256"/>
        <v>0</v>
      </c>
      <c r="EL345" s="3">
        <f t="shared" si="256"/>
        <v>0</v>
      </c>
      <c r="EM345" s="3">
        <f t="shared" ref="EM345:FR345" si="257">EM358</f>
        <v>0</v>
      </c>
      <c r="EN345" s="3">
        <f t="shared" si="257"/>
        <v>0</v>
      </c>
      <c r="EO345" s="3">
        <f t="shared" si="257"/>
        <v>0</v>
      </c>
      <c r="EP345" s="3">
        <f t="shared" si="257"/>
        <v>0</v>
      </c>
      <c r="EQ345" s="3">
        <f t="shared" si="257"/>
        <v>0</v>
      </c>
      <c r="ER345" s="3">
        <f t="shared" si="257"/>
        <v>0</v>
      </c>
      <c r="ES345" s="3">
        <f t="shared" si="257"/>
        <v>0</v>
      </c>
      <c r="ET345" s="3">
        <f t="shared" si="257"/>
        <v>0</v>
      </c>
      <c r="EU345" s="3">
        <f t="shared" si="257"/>
        <v>0</v>
      </c>
      <c r="EV345" s="3">
        <f t="shared" si="257"/>
        <v>0</v>
      </c>
      <c r="EW345" s="3">
        <f t="shared" si="257"/>
        <v>0</v>
      </c>
      <c r="EX345" s="3">
        <f t="shared" si="257"/>
        <v>0</v>
      </c>
      <c r="EY345" s="3">
        <f t="shared" si="257"/>
        <v>0</v>
      </c>
      <c r="EZ345" s="3">
        <f t="shared" si="257"/>
        <v>0</v>
      </c>
      <c r="FA345" s="3">
        <f t="shared" si="257"/>
        <v>0</v>
      </c>
      <c r="FB345" s="3">
        <f t="shared" si="257"/>
        <v>0</v>
      </c>
      <c r="FC345" s="3">
        <f t="shared" si="257"/>
        <v>0</v>
      </c>
      <c r="FD345" s="3">
        <f t="shared" si="257"/>
        <v>0</v>
      </c>
      <c r="FE345" s="3">
        <f t="shared" si="257"/>
        <v>0</v>
      </c>
      <c r="FF345" s="3">
        <f t="shared" si="257"/>
        <v>0</v>
      </c>
      <c r="FG345" s="3">
        <f t="shared" si="257"/>
        <v>0</v>
      </c>
      <c r="FH345" s="3">
        <f t="shared" si="257"/>
        <v>0</v>
      </c>
      <c r="FI345" s="3">
        <f t="shared" si="257"/>
        <v>0</v>
      </c>
      <c r="FJ345" s="3">
        <f t="shared" si="257"/>
        <v>0</v>
      </c>
      <c r="FK345" s="3">
        <f t="shared" si="257"/>
        <v>0</v>
      </c>
      <c r="FL345" s="3">
        <f t="shared" si="257"/>
        <v>0</v>
      </c>
      <c r="FM345" s="3">
        <f t="shared" si="257"/>
        <v>0</v>
      </c>
      <c r="FN345" s="3">
        <f t="shared" si="257"/>
        <v>0</v>
      </c>
      <c r="FO345" s="3">
        <f t="shared" si="257"/>
        <v>0</v>
      </c>
      <c r="FP345" s="3">
        <f t="shared" si="257"/>
        <v>0</v>
      </c>
      <c r="FQ345" s="3">
        <f t="shared" si="257"/>
        <v>0</v>
      </c>
      <c r="FR345" s="3">
        <f t="shared" si="257"/>
        <v>0</v>
      </c>
      <c r="FS345" s="3">
        <f t="shared" ref="FS345:GX345" si="258">FS358</f>
        <v>0</v>
      </c>
      <c r="FT345" s="3">
        <f t="shared" si="258"/>
        <v>0</v>
      </c>
      <c r="FU345" s="3">
        <f t="shared" si="258"/>
        <v>0</v>
      </c>
      <c r="FV345" s="3">
        <f t="shared" si="258"/>
        <v>0</v>
      </c>
      <c r="FW345" s="3">
        <f t="shared" si="258"/>
        <v>0</v>
      </c>
      <c r="FX345" s="3">
        <f t="shared" si="258"/>
        <v>0</v>
      </c>
      <c r="FY345" s="3">
        <f t="shared" si="258"/>
        <v>0</v>
      </c>
      <c r="FZ345" s="3">
        <f t="shared" si="258"/>
        <v>0</v>
      </c>
      <c r="GA345" s="3">
        <f t="shared" si="258"/>
        <v>0</v>
      </c>
      <c r="GB345" s="3">
        <f t="shared" si="258"/>
        <v>0</v>
      </c>
      <c r="GC345" s="3">
        <f t="shared" si="258"/>
        <v>0</v>
      </c>
      <c r="GD345" s="3">
        <f t="shared" si="258"/>
        <v>0</v>
      </c>
      <c r="GE345" s="3">
        <f t="shared" si="258"/>
        <v>0</v>
      </c>
      <c r="GF345" s="3">
        <f t="shared" si="258"/>
        <v>0</v>
      </c>
      <c r="GG345" s="3">
        <f t="shared" si="258"/>
        <v>0</v>
      </c>
      <c r="GH345" s="3">
        <f t="shared" si="258"/>
        <v>0</v>
      </c>
      <c r="GI345" s="3">
        <f t="shared" si="258"/>
        <v>0</v>
      </c>
      <c r="GJ345" s="3">
        <f t="shared" si="258"/>
        <v>0</v>
      </c>
      <c r="GK345" s="3">
        <f t="shared" si="258"/>
        <v>0</v>
      </c>
      <c r="GL345" s="3">
        <f t="shared" si="258"/>
        <v>0</v>
      </c>
      <c r="GM345" s="3">
        <f t="shared" si="258"/>
        <v>0</v>
      </c>
      <c r="GN345" s="3">
        <f t="shared" si="258"/>
        <v>0</v>
      </c>
      <c r="GO345" s="3">
        <f t="shared" si="258"/>
        <v>0</v>
      </c>
      <c r="GP345" s="3">
        <f t="shared" si="258"/>
        <v>0</v>
      </c>
      <c r="GQ345" s="3">
        <f t="shared" si="258"/>
        <v>0</v>
      </c>
      <c r="GR345" s="3">
        <f t="shared" si="258"/>
        <v>0</v>
      </c>
      <c r="GS345" s="3">
        <f t="shared" si="258"/>
        <v>0</v>
      </c>
      <c r="GT345" s="3">
        <f t="shared" si="258"/>
        <v>0</v>
      </c>
      <c r="GU345" s="3">
        <f t="shared" si="258"/>
        <v>0</v>
      </c>
      <c r="GV345" s="3">
        <f t="shared" si="258"/>
        <v>0</v>
      </c>
      <c r="GW345" s="3">
        <f t="shared" si="258"/>
        <v>0</v>
      </c>
      <c r="GX345" s="3">
        <f t="shared" si="258"/>
        <v>0</v>
      </c>
    </row>
    <row r="347" spans="1:245" x14ac:dyDescent="0.2">
      <c r="A347">
        <v>17</v>
      </c>
      <c r="B347">
        <v>1</v>
      </c>
      <c r="C347">
        <f>ROW(SmtRes!A213)</f>
        <v>213</v>
      </c>
      <c r="D347">
        <f>ROW(EtalonRes!A213)</f>
        <v>213</v>
      </c>
      <c r="E347" t="s">
        <v>190</v>
      </c>
      <c r="F347" t="s">
        <v>109</v>
      </c>
      <c r="G347" t="s">
        <v>110</v>
      </c>
      <c r="H347" t="s">
        <v>17</v>
      </c>
      <c r="I347">
        <f>ROUND(8*0.36/100,9)</f>
        <v>2.8799999999999999E-2</v>
      </c>
      <c r="J347">
        <v>0</v>
      </c>
      <c r="O347">
        <f t="shared" ref="O347:O356" si="259">ROUND(CP347,2)</f>
        <v>146.88</v>
      </c>
      <c r="P347">
        <f t="shared" ref="P347:P356" si="260">ROUND(CQ347*I347,2)</f>
        <v>0</v>
      </c>
      <c r="Q347">
        <f t="shared" ref="Q347:Q356" si="261">ROUND(CR347*I347,2)</f>
        <v>142.37</v>
      </c>
      <c r="R347">
        <f t="shared" ref="R347:R356" si="262">ROUND(CS347*I347,2)</f>
        <v>57.96</v>
      </c>
      <c r="S347">
        <f t="shared" ref="S347:S356" si="263">ROUND(CT347*I347,2)</f>
        <v>4.51</v>
      </c>
      <c r="T347">
        <f t="shared" ref="T347:T356" si="264">ROUND(CU347*I347,2)</f>
        <v>0</v>
      </c>
      <c r="U347">
        <f t="shared" ref="U347:U356" si="265">CV347*I347</f>
        <v>3.024E-2</v>
      </c>
      <c r="V347">
        <f t="shared" ref="V347:V356" si="266">CW347*I347</f>
        <v>0</v>
      </c>
      <c r="W347">
        <f t="shared" ref="W347:W356" si="267">ROUND(CX347*I347,2)</f>
        <v>0</v>
      </c>
      <c r="X347">
        <f t="shared" ref="X347:X356" si="268">ROUND(CY347,2)</f>
        <v>3.16</v>
      </c>
      <c r="Y347">
        <f t="shared" ref="Y347:Y356" si="269">ROUND(CZ347,2)</f>
        <v>0.45</v>
      </c>
      <c r="AA347">
        <v>37598633</v>
      </c>
      <c r="AB347">
        <f t="shared" ref="AB347:AB356" si="270">ROUND((AC347+AD347+AF347),6)</f>
        <v>5099.91</v>
      </c>
      <c r="AC347">
        <f>ROUND((ES347),6)</f>
        <v>0</v>
      </c>
      <c r="AD347">
        <f>ROUND((((ET347)-(EU347))+AE347),6)</f>
        <v>4943.3</v>
      </c>
      <c r="AE347">
        <f>ROUND((EU347),6)</f>
        <v>2012.38</v>
      </c>
      <c r="AF347">
        <f>ROUND((EV347),6)</f>
        <v>156.61000000000001</v>
      </c>
      <c r="AG347">
        <f t="shared" ref="AG347:AG356" si="271">ROUND((AP347),6)</f>
        <v>0</v>
      </c>
      <c r="AH347">
        <f>(EW347)</f>
        <v>1.05</v>
      </c>
      <c r="AI347">
        <f>(EX347)</f>
        <v>0</v>
      </c>
      <c r="AJ347">
        <f t="shared" ref="AJ347:AJ356" si="272">ROUND((AS347),6)</f>
        <v>0</v>
      </c>
      <c r="AK347">
        <v>5099.91</v>
      </c>
      <c r="AL347">
        <v>0</v>
      </c>
      <c r="AM347">
        <v>4943.3</v>
      </c>
      <c r="AN347">
        <v>2012.38</v>
      </c>
      <c r="AO347">
        <v>156.61000000000001</v>
      </c>
      <c r="AP347">
        <v>0</v>
      </c>
      <c r="AQ347">
        <v>1.05</v>
      </c>
      <c r="AR347">
        <v>0</v>
      </c>
      <c r="AS347">
        <v>0</v>
      </c>
      <c r="AT347">
        <v>70</v>
      </c>
      <c r="AU347">
        <v>10</v>
      </c>
      <c r="AV347">
        <v>1</v>
      </c>
      <c r="AW347">
        <v>1</v>
      </c>
      <c r="AZ347">
        <v>1</v>
      </c>
      <c r="BA347">
        <v>1</v>
      </c>
      <c r="BB347">
        <v>1</v>
      </c>
      <c r="BC347">
        <v>1</v>
      </c>
      <c r="BD347" t="s">
        <v>3</v>
      </c>
      <c r="BE347" t="s">
        <v>3</v>
      </c>
      <c r="BF347" t="s">
        <v>3</v>
      </c>
      <c r="BG347" t="s">
        <v>3</v>
      </c>
      <c r="BH347">
        <v>0</v>
      </c>
      <c r="BI347">
        <v>4</v>
      </c>
      <c r="BJ347" t="s">
        <v>111</v>
      </c>
      <c r="BM347">
        <v>0</v>
      </c>
      <c r="BN347">
        <v>0</v>
      </c>
      <c r="BO347" t="s">
        <v>3</v>
      </c>
      <c r="BP347">
        <v>0</v>
      </c>
      <c r="BQ347">
        <v>1</v>
      </c>
      <c r="BR347">
        <v>0</v>
      </c>
      <c r="BS347">
        <v>1</v>
      </c>
      <c r="BT347">
        <v>1</v>
      </c>
      <c r="BU347">
        <v>1</v>
      </c>
      <c r="BV347">
        <v>1</v>
      </c>
      <c r="BW347">
        <v>1</v>
      </c>
      <c r="BX347">
        <v>1</v>
      </c>
      <c r="BY347" t="s">
        <v>3</v>
      </c>
      <c r="BZ347">
        <v>70</v>
      </c>
      <c r="CA347">
        <v>10</v>
      </c>
      <c r="CF347">
        <v>0</v>
      </c>
      <c r="CG347">
        <v>0</v>
      </c>
      <c r="CM347">
        <v>0</v>
      </c>
      <c r="CN347" t="s">
        <v>3</v>
      </c>
      <c r="CO347">
        <v>0</v>
      </c>
      <c r="CP347">
        <f t="shared" ref="CP347:CP356" si="273">(P347+Q347+S347)</f>
        <v>146.88</v>
      </c>
      <c r="CQ347">
        <f t="shared" ref="CQ347:CQ356" si="274">(AC347*BC347*AW347)</f>
        <v>0</v>
      </c>
      <c r="CR347">
        <f>((((ET347)*BB347-(EU347)*BS347)+AE347*BS347)*AV347)</f>
        <v>4943.3</v>
      </c>
      <c r="CS347">
        <f t="shared" ref="CS347:CS356" si="275">(AE347*BS347*AV347)</f>
        <v>2012.38</v>
      </c>
      <c r="CT347">
        <f t="shared" ref="CT347:CT356" si="276">(AF347*BA347*AV347)</f>
        <v>156.61000000000001</v>
      </c>
      <c r="CU347">
        <f t="shared" ref="CU347:CU356" si="277">AG347</f>
        <v>0</v>
      </c>
      <c r="CV347">
        <f t="shared" ref="CV347:CV356" si="278">(AH347*AV347)</f>
        <v>1.05</v>
      </c>
      <c r="CW347">
        <f t="shared" ref="CW347:CW356" si="279">AI347</f>
        <v>0</v>
      </c>
      <c r="CX347">
        <f t="shared" ref="CX347:CX356" si="280">AJ347</f>
        <v>0</v>
      </c>
      <c r="CY347">
        <f t="shared" ref="CY347:CY356" si="281">((S347*BZ347)/100)</f>
        <v>3.157</v>
      </c>
      <c r="CZ347">
        <f t="shared" ref="CZ347:CZ356" si="282">((S347*CA347)/100)</f>
        <v>0.45099999999999996</v>
      </c>
      <c r="DC347" t="s">
        <v>3</v>
      </c>
      <c r="DD347" t="s">
        <v>3</v>
      </c>
      <c r="DE347" t="s">
        <v>3</v>
      </c>
      <c r="DF347" t="s">
        <v>3</v>
      </c>
      <c r="DG347" t="s">
        <v>3</v>
      </c>
      <c r="DH347" t="s">
        <v>3</v>
      </c>
      <c r="DI347" t="s">
        <v>3</v>
      </c>
      <c r="DJ347" t="s">
        <v>3</v>
      </c>
      <c r="DK347" t="s">
        <v>3</v>
      </c>
      <c r="DL347" t="s">
        <v>3</v>
      </c>
      <c r="DM347" t="s">
        <v>3</v>
      </c>
      <c r="DN347">
        <v>0</v>
      </c>
      <c r="DO347">
        <v>0</v>
      </c>
      <c r="DP347">
        <v>1</v>
      </c>
      <c r="DQ347">
        <v>1</v>
      </c>
      <c r="DU347">
        <v>1007</v>
      </c>
      <c r="DV347" t="s">
        <v>17</v>
      </c>
      <c r="DW347" t="s">
        <v>17</v>
      </c>
      <c r="DX347">
        <v>100</v>
      </c>
      <c r="EE347">
        <v>34176748</v>
      </c>
      <c r="EF347">
        <v>1</v>
      </c>
      <c r="EG347" t="s">
        <v>19</v>
      </c>
      <c r="EH347">
        <v>0</v>
      </c>
      <c r="EI347" t="s">
        <v>3</v>
      </c>
      <c r="EJ347">
        <v>4</v>
      </c>
      <c r="EK347">
        <v>0</v>
      </c>
      <c r="EL347" t="s">
        <v>20</v>
      </c>
      <c r="EM347" t="s">
        <v>21</v>
      </c>
      <c r="EO347" t="s">
        <v>3</v>
      </c>
      <c r="EQ347">
        <v>0</v>
      </c>
      <c r="ER347">
        <v>5099.91</v>
      </c>
      <c r="ES347">
        <v>0</v>
      </c>
      <c r="ET347">
        <v>4943.3</v>
      </c>
      <c r="EU347">
        <v>2012.38</v>
      </c>
      <c r="EV347">
        <v>156.61000000000001</v>
      </c>
      <c r="EW347">
        <v>1.05</v>
      </c>
      <c r="EX347">
        <v>0</v>
      </c>
      <c r="EY347">
        <v>0</v>
      </c>
      <c r="FQ347">
        <v>0</v>
      </c>
      <c r="FR347">
        <f t="shared" ref="FR347:FR356" si="283">ROUND(IF(AND(BH347=3,BI347=3),P347,0),2)</f>
        <v>0</v>
      </c>
      <c r="FS347">
        <v>0</v>
      </c>
      <c r="FX347">
        <v>70</v>
      </c>
      <c r="FY347">
        <v>10</v>
      </c>
      <c r="GA347" t="s">
        <v>3</v>
      </c>
      <c r="GD347">
        <v>0</v>
      </c>
      <c r="GF347">
        <v>677468817</v>
      </c>
      <c r="GG347">
        <v>2</v>
      </c>
      <c r="GH347">
        <v>1</v>
      </c>
      <c r="GI347">
        <v>-2</v>
      </c>
      <c r="GJ347">
        <v>0</v>
      </c>
      <c r="GK347">
        <f>ROUND(R347*(R12)/100,2)</f>
        <v>62.6</v>
      </c>
      <c r="GL347">
        <f t="shared" ref="GL347:GL356" si="284">ROUND(IF(AND(BH347=3,BI347=3,FS347&lt;&gt;0),P347,0),2)</f>
        <v>0</v>
      </c>
      <c r="GM347">
        <f>ROUND(O347+X347+Y347+GK347,2)+GX347</f>
        <v>213.09</v>
      </c>
      <c r="GN347">
        <f>IF(OR(BI347=0,BI347=1),ROUND(O347+X347+Y347+GK347,2),0)</f>
        <v>0</v>
      </c>
      <c r="GO347">
        <f>IF(BI347=2,ROUND(O347+X347+Y347+GK347,2),0)</f>
        <v>0</v>
      </c>
      <c r="GP347">
        <f>IF(BI347=4,ROUND(O347+X347+Y347+GK347,2)+GX347,0)</f>
        <v>213.09</v>
      </c>
      <c r="GR347">
        <v>0</v>
      </c>
      <c r="GS347">
        <v>3</v>
      </c>
      <c r="GT347">
        <v>0</v>
      </c>
      <c r="GU347" t="s">
        <v>3</v>
      </c>
      <c r="GV347">
        <f t="shared" ref="GV347:GV356" si="285">ROUND(GT347,6)</f>
        <v>0</v>
      </c>
      <c r="GW347">
        <v>1</v>
      </c>
      <c r="GX347">
        <f t="shared" ref="GX347:GX356" si="286">ROUND(GV347*GW347*I347,2)</f>
        <v>0</v>
      </c>
      <c r="HA347">
        <v>0</v>
      </c>
      <c r="HB347">
        <v>0</v>
      </c>
      <c r="IK347">
        <v>0</v>
      </c>
    </row>
    <row r="348" spans="1:245" x14ac:dyDescent="0.2">
      <c r="A348">
        <v>17</v>
      </c>
      <c r="B348">
        <v>1</v>
      </c>
      <c r="C348">
        <f>ROW(SmtRes!A214)</f>
        <v>214</v>
      </c>
      <c r="D348">
        <f>ROW(EtalonRes!A214)</f>
        <v>214</v>
      </c>
      <c r="E348" t="s">
        <v>191</v>
      </c>
      <c r="F348" t="s">
        <v>113</v>
      </c>
      <c r="G348" t="s">
        <v>114</v>
      </c>
      <c r="H348" t="s">
        <v>115</v>
      </c>
      <c r="I348">
        <v>2.8799800000000002</v>
      </c>
      <c r="J348">
        <v>0</v>
      </c>
      <c r="O348">
        <f t="shared" si="259"/>
        <v>162.09</v>
      </c>
      <c r="P348">
        <f t="shared" si="260"/>
        <v>0</v>
      </c>
      <c r="Q348">
        <f t="shared" si="261"/>
        <v>162.09</v>
      </c>
      <c r="R348">
        <f t="shared" si="262"/>
        <v>120.44</v>
      </c>
      <c r="S348">
        <f t="shared" si="263"/>
        <v>0</v>
      </c>
      <c r="T348">
        <f t="shared" si="264"/>
        <v>0</v>
      </c>
      <c r="U348">
        <f t="shared" si="265"/>
        <v>0</v>
      </c>
      <c r="V348">
        <f t="shared" si="266"/>
        <v>0</v>
      </c>
      <c r="W348">
        <f t="shared" si="267"/>
        <v>0</v>
      </c>
      <c r="X348">
        <f t="shared" si="268"/>
        <v>0</v>
      </c>
      <c r="Y348">
        <f t="shared" si="269"/>
        <v>0</v>
      </c>
      <c r="AA348">
        <v>37598633</v>
      </c>
      <c r="AB348">
        <f t="shared" si="270"/>
        <v>56.28</v>
      </c>
      <c r="AC348">
        <f>ROUND((ES348),6)</f>
        <v>0</v>
      </c>
      <c r="AD348">
        <f>ROUND((((ET348)-(EU348))+AE348),6)</f>
        <v>56.28</v>
      </c>
      <c r="AE348">
        <f>ROUND((EU348),6)</f>
        <v>41.82</v>
      </c>
      <c r="AF348">
        <f>ROUND((EV348),6)</f>
        <v>0</v>
      </c>
      <c r="AG348">
        <f t="shared" si="271"/>
        <v>0</v>
      </c>
      <c r="AH348">
        <f>(EW348)</f>
        <v>0</v>
      </c>
      <c r="AI348">
        <f>(EX348)</f>
        <v>0</v>
      </c>
      <c r="AJ348">
        <f t="shared" si="272"/>
        <v>0</v>
      </c>
      <c r="AK348">
        <v>56.28</v>
      </c>
      <c r="AL348">
        <v>0</v>
      </c>
      <c r="AM348">
        <v>56.28</v>
      </c>
      <c r="AN348">
        <v>41.82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1</v>
      </c>
      <c r="AW348">
        <v>1</v>
      </c>
      <c r="AZ348">
        <v>1</v>
      </c>
      <c r="BA348">
        <v>1</v>
      </c>
      <c r="BB348">
        <v>1</v>
      </c>
      <c r="BC348">
        <v>1</v>
      </c>
      <c r="BD348" t="s">
        <v>3</v>
      </c>
      <c r="BE348" t="s">
        <v>3</v>
      </c>
      <c r="BF348" t="s">
        <v>3</v>
      </c>
      <c r="BG348" t="s">
        <v>3</v>
      </c>
      <c r="BH348">
        <v>0</v>
      </c>
      <c r="BI348">
        <v>4</v>
      </c>
      <c r="BJ348" t="s">
        <v>116</v>
      </c>
      <c r="BM348">
        <v>1</v>
      </c>
      <c r="BN348">
        <v>0</v>
      </c>
      <c r="BO348" t="s">
        <v>3</v>
      </c>
      <c r="BP348">
        <v>0</v>
      </c>
      <c r="BQ348">
        <v>1</v>
      </c>
      <c r="BR348">
        <v>0</v>
      </c>
      <c r="BS348">
        <v>1</v>
      </c>
      <c r="BT348">
        <v>1</v>
      </c>
      <c r="BU348">
        <v>1</v>
      </c>
      <c r="BV348">
        <v>1</v>
      </c>
      <c r="BW348">
        <v>1</v>
      </c>
      <c r="BX348">
        <v>1</v>
      </c>
      <c r="BY348" t="s">
        <v>3</v>
      </c>
      <c r="BZ348">
        <v>0</v>
      </c>
      <c r="CA348">
        <v>0</v>
      </c>
      <c r="CF348">
        <v>0</v>
      </c>
      <c r="CG348">
        <v>0</v>
      </c>
      <c r="CM348">
        <v>0</v>
      </c>
      <c r="CN348" t="s">
        <v>3</v>
      </c>
      <c r="CO348">
        <v>0</v>
      </c>
      <c r="CP348">
        <f t="shared" si="273"/>
        <v>162.09</v>
      </c>
      <c r="CQ348">
        <f t="shared" si="274"/>
        <v>0</v>
      </c>
      <c r="CR348">
        <f>((((ET348)*BB348-(EU348)*BS348)+AE348*BS348)*AV348)</f>
        <v>56.28</v>
      </c>
      <c r="CS348">
        <f t="shared" si="275"/>
        <v>41.82</v>
      </c>
      <c r="CT348">
        <f t="shared" si="276"/>
        <v>0</v>
      </c>
      <c r="CU348">
        <f t="shared" si="277"/>
        <v>0</v>
      </c>
      <c r="CV348">
        <f t="shared" si="278"/>
        <v>0</v>
      </c>
      <c r="CW348">
        <f t="shared" si="279"/>
        <v>0</v>
      </c>
      <c r="CX348">
        <f t="shared" si="280"/>
        <v>0</v>
      </c>
      <c r="CY348">
        <f t="shared" si="281"/>
        <v>0</v>
      </c>
      <c r="CZ348">
        <f t="shared" si="282"/>
        <v>0</v>
      </c>
      <c r="DC348" t="s">
        <v>3</v>
      </c>
      <c r="DD348" t="s">
        <v>3</v>
      </c>
      <c r="DE348" t="s">
        <v>3</v>
      </c>
      <c r="DF348" t="s">
        <v>3</v>
      </c>
      <c r="DG348" t="s">
        <v>3</v>
      </c>
      <c r="DH348" t="s">
        <v>3</v>
      </c>
      <c r="DI348" t="s">
        <v>3</v>
      </c>
      <c r="DJ348" t="s">
        <v>3</v>
      </c>
      <c r="DK348" t="s">
        <v>3</v>
      </c>
      <c r="DL348" t="s">
        <v>3</v>
      </c>
      <c r="DM348" t="s">
        <v>3</v>
      </c>
      <c r="DN348">
        <v>0</v>
      </c>
      <c r="DO348">
        <v>0</v>
      </c>
      <c r="DP348">
        <v>1</v>
      </c>
      <c r="DQ348">
        <v>1</v>
      </c>
      <c r="DU348">
        <v>1007</v>
      </c>
      <c r="DV348" t="s">
        <v>115</v>
      </c>
      <c r="DW348" t="s">
        <v>115</v>
      </c>
      <c r="DX348">
        <v>1</v>
      </c>
      <c r="EE348">
        <v>34176750</v>
      </c>
      <c r="EF348">
        <v>1</v>
      </c>
      <c r="EG348" t="s">
        <v>19</v>
      </c>
      <c r="EH348">
        <v>0</v>
      </c>
      <c r="EI348" t="s">
        <v>3</v>
      </c>
      <c r="EJ348">
        <v>4</v>
      </c>
      <c r="EK348">
        <v>1</v>
      </c>
      <c r="EL348" t="s">
        <v>35</v>
      </c>
      <c r="EM348" t="s">
        <v>21</v>
      </c>
      <c r="EO348" t="s">
        <v>3</v>
      </c>
      <c r="EQ348">
        <v>0</v>
      </c>
      <c r="ER348">
        <v>56.28</v>
      </c>
      <c r="ES348">
        <v>0</v>
      </c>
      <c r="ET348">
        <v>56.28</v>
      </c>
      <c r="EU348">
        <v>41.82</v>
      </c>
      <c r="EV348">
        <v>0</v>
      </c>
      <c r="EW348">
        <v>0</v>
      </c>
      <c r="EX348">
        <v>0</v>
      </c>
      <c r="EY348">
        <v>0</v>
      </c>
      <c r="FQ348">
        <v>0</v>
      </c>
      <c r="FR348">
        <f t="shared" si="283"/>
        <v>0</v>
      </c>
      <c r="FS348">
        <v>0</v>
      </c>
      <c r="FX348">
        <v>0</v>
      </c>
      <c r="FY348">
        <v>0</v>
      </c>
      <c r="GA348" t="s">
        <v>3</v>
      </c>
      <c r="GD348">
        <v>1</v>
      </c>
      <c r="GF348">
        <v>-636474766</v>
      </c>
      <c r="GG348">
        <v>2</v>
      </c>
      <c r="GH348">
        <v>1</v>
      </c>
      <c r="GI348">
        <v>-2</v>
      </c>
      <c r="GJ348">
        <v>0</v>
      </c>
      <c r="GK348">
        <v>0</v>
      </c>
      <c r="GL348">
        <f t="shared" si="284"/>
        <v>0</v>
      </c>
      <c r="GM348">
        <f>ROUND(O348+X348+Y348,2)+GX348</f>
        <v>162.09</v>
      </c>
      <c r="GN348">
        <f>IF(OR(BI348=0,BI348=1),ROUND(O348+X348+Y348,2),0)</f>
        <v>0</v>
      </c>
      <c r="GO348">
        <f>IF(BI348=2,ROUND(O348+X348+Y348,2),0)</f>
        <v>0</v>
      </c>
      <c r="GP348">
        <f>IF(BI348=4,ROUND(O348+X348+Y348,2)+GX348,0)</f>
        <v>162.09</v>
      </c>
      <c r="GR348">
        <v>0</v>
      </c>
      <c r="GS348">
        <v>3</v>
      </c>
      <c r="GT348">
        <v>0</v>
      </c>
      <c r="GU348" t="s">
        <v>3</v>
      </c>
      <c r="GV348">
        <f t="shared" si="285"/>
        <v>0</v>
      </c>
      <c r="GW348">
        <v>1</v>
      </c>
      <c r="GX348">
        <f t="shared" si="286"/>
        <v>0</v>
      </c>
      <c r="HA348">
        <v>0</v>
      </c>
      <c r="HB348">
        <v>0</v>
      </c>
      <c r="IK348">
        <v>0</v>
      </c>
    </row>
    <row r="349" spans="1:245" x14ac:dyDescent="0.2">
      <c r="A349">
        <v>17</v>
      </c>
      <c r="B349">
        <v>1</v>
      </c>
      <c r="C349">
        <f>ROW(SmtRes!A215)</f>
        <v>215</v>
      </c>
      <c r="D349">
        <f>ROW(EtalonRes!A215)</f>
        <v>215</v>
      </c>
      <c r="E349" t="s">
        <v>192</v>
      </c>
      <c r="F349" t="s">
        <v>118</v>
      </c>
      <c r="G349" t="s">
        <v>119</v>
      </c>
      <c r="H349" t="s">
        <v>115</v>
      </c>
      <c r="I349">
        <f>ROUND(I348,9)</f>
        <v>2.8799800000000002</v>
      </c>
      <c r="J349">
        <v>0</v>
      </c>
      <c r="O349">
        <f t="shared" si="259"/>
        <v>1359.81</v>
      </c>
      <c r="P349">
        <f t="shared" si="260"/>
        <v>0</v>
      </c>
      <c r="Q349">
        <f t="shared" si="261"/>
        <v>1359.81</v>
      </c>
      <c r="R349">
        <f t="shared" si="262"/>
        <v>1010.12</v>
      </c>
      <c r="S349">
        <f t="shared" si="263"/>
        <v>0</v>
      </c>
      <c r="T349">
        <f t="shared" si="264"/>
        <v>0</v>
      </c>
      <c r="U349">
        <f t="shared" si="265"/>
        <v>0</v>
      </c>
      <c r="V349">
        <f t="shared" si="266"/>
        <v>0</v>
      </c>
      <c r="W349">
        <f t="shared" si="267"/>
        <v>0</v>
      </c>
      <c r="X349">
        <f t="shared" si="268"/>
        <v>0</v>
      </c>
      <c r="Y349">
        <f t="shared" si="269"/>
        <v>0</v>
      </c>
      <c r="AA349">
        <v>37598633</v>
      </c>
      <c r="AB349">
        <f t="shared" si="270"/>
        <v>472.16</v>
      </c>
      <c r="AC349">
        <f>ROUND((ES349),6)</f>
        <v>0</v>
      </c>
      <c r="AD349">
        <f>ROUND(((((ET349*26))-((EU349*26)))+AE349),6)</f>
        <v>472.16</v>
      </c>
      <c r="AE349">
        <f>ROUND(((EU349*26)),6)</f>
        <v>350.74</v>
      </c>
      <c r="AF349">
        <f>ROUND(((EV349*26)),6)</f>
        <v>0</v>
      </c>
      <c r="AG349">
        <f t="shared" si="271"/>
        <v>0</v>
      </c>
      <c r="AH349">
        <f>((EW349*26))</f>
        <v>0</v>
      </c>
      <c r="AI349">
        <f>((EX349*26))</f>
        <v>0</v>
      </c>
      <c r="AJ349">
        <f t="shared" si="272"/>
        <v>0</v>
      </c>
      <c r="AK349">
        <v>18.16</v>
      </c>
      <c r="AL349">
        <v>0</v>
      </c>
      <c r="AM349">
        <v>18.16</v>
      </c>
      <c r="AN349">
        <v>13.49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1</v>
      </c>
      <c r="AW349">
        <v>1</v>
      </c>
      <c r="AZ349">
        <v>1</v>
      </c>
      <c r="BA349">
        <v>1</v>
      </c>
      <c r="BB349">
        <v>1</v>
      </c>
      <c r="BC349">
        <v>1</v>
      </c>
      <c r="BD349" t="s">
        <v>3</v>
      </c>
      <c r="BE349" t="s">
        <v>3</v>
      </c>
      <c r="BF349" t="s">
        <v>3</v>
      </c>
      <c r="BG349" t="s">
        <v>3</v>
      </c>
      <c r="BH349">
        <v>0</v>
      </c>
      <c r="BI349">
        <v>4</v>
      </c>
      <c r="BJ349" t="s">
        <v>120</v>
      </c>
      <c r="BM349">
        <v>1</v>
      </c>
      <c r="BN349">
        <v>0</v>
      </c>
      <c r="BO349" t="s">
        <v>3</v>
      </c>
      <c r="BP349">
        <v>0</v>
      </c>
      <c r="BQ349">
        <v>1</v>
      </c>
      <c r="BR349">
        <v>0</v>
      </c>
      <c r="BS349">
        <v>1</v>
      </c>
      <c r="BT349">
        <v>1</v>
      </c>
      <c r="BU349">
        <v>1</v>
      </c>
      <c r="BV349">
        <v>1</v>
      </c>
      <c r="BW349">
        <v>1</v>
      </c>
      <c r="BX349">
        <v>1</v>
      </c>
      <c r="BY349" t="s">
        <v>3</v>
      </c>
      <c r="BZ349">
        <v>0</v>
      </c>
      <c r="CA349">
        <v>0</v>
      </c>
      <c r="CF349">
        <v>0</v>
      </c>
      <c r="CG349">
        <v>0</v>
      </c>
      <c r="CM349">
        <v>0</v>
      </c>
      <c r="CN349" t="s">
        <v>3</v>
      </c>
      <c r="CO349">
        <v>0</v>
      </c>
      <c r="CP349">
        <f t="shared" si="273"/>
        <v>1359.81</v>
      </c>
      <c r="CQ349">
        <f t="shared" si="274"/>
        <v>0</v>
      </c>
      <c r="CR349">
        <f>(((((ET349*26))*BB349-((EU349*26))*BS349)+AE349*BS349)*AV349)</f>
        <v>472.16</v>
      </c>
      <c r="CS349">
        <f t="shared" si="275"/>
        <v>350.74</v>
      </c>
      <c r="CT349">
        <f t="shared" si="276"/>
        <v>0</v>
      </c>
      <c r="CU349">
        <f t="shared" si="277"/>
        <v>0</v>
      </c>
      <c r="CV349">
        <f t="shared" si="278"/>
        <v>0</v>
      </c>
      <c r="CW349">
        <f t="shared" si="279"/>
        <v>0</v>
      </c>
      <c r="CX349">
        <f t="shared" si="280"/>
        <v>0</v>
      </c>
      <c r="CY349">
        <f t="shared" si="281"/>
        <v>0</v>
      </c>
      <c r="CZ349">
        <f t="shared" si="282"/>
        <v>0</v>
      </c>
      <c r="DC349" t="s">
        <v>3</v>
      </c>
      <c r="DD349" t="s">
        <v>3</v>
      </c>
      <c r="DE349" t="s">
        <v>121</v>
      </c>
      <c r="DF349" t="s">
        <v>121</v>
      </c>
      <c r="DG349" t="s">
        <v>121</v>
      </c>
      <c r="DH349" t="s">
        <v>3</v>
      </c>
      <c r="DI349" t="s">
        <v>121</v>
      </c>
      <c r="DJ349" t="s">
        <v>121</v>
      </c>
      <c r="DK349" t="s">
        <v>3</v>
      </c>
      <c r="DL349" t="s">
        <v>3</v>
      </c>
      <c r="DM349" t="s">
        <v>3</v>
      </c>
      <c r="DN349">
        <v>0</v>
      </c>
      <c r="DO349">
        <v>0</v>
      </c>
      <c r="DP349">
        <v>1</v>
      </c>
      <c r="DQ349">
        <v>1</v>
      </c>
      <c r="DU349">
        <v>1007</v>
      </c>
      <c r="DV349" t="s">
        <v>115</v>
      </c>
      <c r="DW349" t="s">
        <v>115</v>
      </c>
      <c r="DX349">
        <v>1</v>
      </c>
      <c r="EE349">
        <v>34176750</v>
      </c>
      <c r="EF349">
        <v>1</v>
      </c>
      <c r="EG349" t="s">
        <v>19</v>
      </c>
      <c r="EH349">
        <v>0</v>
      </c>
      <c r="EI349" t="s">
        <v>3</v>
      </c>
      <c r="EJ349">
        <v>4</v>
      </c>
      <c r="EK349">
        <v>1</v>
      </c>
      <c r="EL349" t="s">
        <v>35</v>
      </c>
      <c r="EM349" t="s">
        <v>21</v>
      </c>
      <c r="EO349" t="s">
        <v>3</v>
      </c>
      <c r="EQ349">
        <v>0</v>
      </c>
      <c r="ER349">
        <v>18.16</v>
      </c>
      <c r="ES349">
        <v>0</v>
      </c>
      <c r="ET349">
        <v>18.16</v>
      </c>
      <c r="EU349">
        <v>13.49</v>
      </c>
      <c r="EV349">
        <v>0</v>
      </c>
      <c r="EW349">
        <v>0</v>
      </c>
      <c r="EX349">
        <v>0</v>
      </c>
      <c r="EY349">
        <v>0</v>
      </c>
      <c r="FQ349">
        <v>0</v>
      </c>
      <c r="FR349">
        <f t="shared" si="283"/>
        <v>0</v>
      </c>
      <c r="FS349">
        <v>0</v>
      </c>
      <c r="FX349">
        <v>0</v>
      </c>
      <c r="FY349">
        <v>0</v>
      </c>
      <c r="GA349" t="s">
        <v>3</v>
      </c>
      <c r="GD349">
        <v>1</v>
      </c>
      <c r="GF349">
        <v>-514901743</v>
      </c>
      <c r="GG349">
        <v>2</v>
      </c>
      <c r="GH349">
        <v>1</v>
      </c>
      <c r="GI349">
        <v>-2</v>
      </c>
      <c r="GJ349">
        <v>0</v>
      </c>
      <c r="GK349">
        <v>0</v>
      </c>
      <c r="GL349">
        <f t="shared" si="284"/>
        <v>0</v>
      </c>
      <c r="GM349">
        <f>ROUND(O349+X349+Y349,2)+GX349</f>
        <v>1359.81</v>
      </c>
      <c r="GN349">
        <f>IF(OR(BI349=0,BI349=1),ROUND(O349+X349+Y349,2),0)</f>
        <v>0</v>
      </c>
      <c r="GO349">
        <f>IF(BI349=2,ROUND(O349+X349+Y349,2),0)</f>
        <v>0</v>
      </c>
      <c r="GP349">
        <f>IF(BI349=4,ROUND(O349+X349+Y349,2)+GX349,0)</f>
        <v>1359.81</v>
      </c>
      <c r="GR349">
        <v>0</v>
      </c>
      <c r="GS349">
        <v>3</v>
      </c>
      <c r="GT349">
        <v>0</v>
      </c>
      <c r="GU349" t="s">
        <v>3</v>
      </c>
      <c r="GV349">
        <f t="shared" si="285"/>
        <v>0</v>
      </c>
      <c r="GW349">
        <v>1</v>
      </c>
      <c r="GX349">
        <f t="shared" si="286"/>
        <v>0</v>
      </c>
      <c r="HA349">
        <v>0</v>
      </c>
      <c r="HB349">
        <v>0</v>
      </c>
      <c r="IK349">
        <v>0</v>
      </c>
    </row>
    <row r="350" spans="1:245" x14ac:dyDescent="0.2">
      <c r="A350">
        <v>17</v>
      </c>
      <c r="B350">
        <v>1</v>
      </c>
      <c r="C350">
        <f>ROW(SmtRes!A223)</f>
        <v>223</v>
      </c>
      <c r="D350">
        <f>ROW(EtalonRes!A223)</f>
        <v>223</v>
      </c>
      <c r="E350" t="s">
        <v>193</v>
      </c>
      <c r="F350" t="s">
        <v>42</v>
      </c>
      <c r="G350" t="s">
        <v>43</v>
      </c>
      <c r="H350" t="s">
        <v>17</v>
      </c>
      <c r="I350">
        <f>ROUND(8*0.1/100,9)</f>
        <v>8.0000000000000002E-3</v>
      </c>
      <c r="J350">
        <v>0</v>
      </c>
      <c r="O350">
        <f t="shared" si="259"/>
        <v>571.12</v>
      </c>
      <c r="P350">
        <f t="shared" si="260"/>
        <v>493.27</v>
      </c>
      <c r="Q350">
        <f t="shared" si="261"/>
        <v>57.39</v>
      </c>
      <c r="R350">
        <f t="shared" si="262"/>
        <v>21.36</v>
      </c>
      <c r="S350">
        <f t="shared" si="263"/>
        <v>20.46</v>
      </c>
      <c r="T350">
        <f t="shared" si="264"/>
        <v>0</v>
      </c>
      <c r="U350">
        <f t="shared" si="265"/>
        <v>0.13247999999999999</v>
      </c>
      <c r="V350">
        <f t="shared" si="266"/>
        <v>0</v>
      </c>
      <c r="W350">
        <f t="shared" si="267"/>
        <v>0</v>
      </c>
      <c r="X350">
        <f t="shared" si="268"/>
        <v>14.32</v>
      </c>
      <c r="Y350">
        <f t="shared" si="269"/>
        <v>2.0499999999999998</v>
      </c>
      <c r="AA350">
        <v>37598633</v>
      </c>
      <c r="AB350">
        <f t="shared" si="270"/>
        <v>71390.39</v>
      </c>
      <c r="AC350">
        <f>ROUND((ES350),6)</f>
        <v>61659.15</v>
      </c>
      <c r="AD350">
        <f t="shared" ref="AD350:AD356" si="287">ROUND((((ET350)-(EU350))+AE350),6)</f>
        <v>7173.55</v>
      </c>
      <c r="AE350">
        <f t="shared" ref="AE350:AF356" si="288">ROUND((EU350),6)</f>
        <v>2669.64</v>
      </c>
      <c r="AF350">
        <f t="shared" si="288"/>
        <v>2557.69</v>
      </c>
      <c r="AG350">
        <f t="shared" si="271"/>
        <v>0</v>
      </c>
      <c r="AH350">
        <f t="shared" ref="AH350:AI356" si="289">(EW350)</f>
        <v>16.559999999999999</v>
      </c>
      <c r="AI350">
        <f t="shared" si="289"/>
        <v>0</v>
      </c>
      <c r="AJ350">
        <f t="shared" si="272"/>
        <v>0</v>
      </c>
      <c r="AK350">
        <v>71390.39</v>
      </c>
      <c r="AL350">
        <v>61659.15</v>
      </c>
      <c r="AM350">
        <v>7173.55</v>
      </c>
      <c r="AN350">
        <v>2669.64</v>
      </c>
      <c r="AO350">
        <v>2557.69</v>
      </c>
      <c r="AP350">
        <v>0</v>
      </c>
      <c r="AQ350">
        <v>16.559999999999999</v>
      </c>
      <c r="AR350">
        <v>0</v>
      </c>
      <c r="AS350">
        <v>0</v>
      </c>
      <c r="AT350">
        <v>70</v>
      </c>
      <c r="AU350">
        <v>10</v>
      </c>
      <c r="AV350">
        <v>1</v>
      </c>
      <c r="AW350">
        <v>1</v>
      </c>
      <c r="AZ350">
        <v>1</v>
      </c>
      <c r="BA350">
        <v>1</v>
      </c>
      <c r="BB350">
        <v>1</v>
      </c>
      <c r="BC350">
        <v>1</v>
      </c>
      <c r="BD350" t="s">
        <v>3</v>
      </c>
      <c r="BE350" t="s">
        <v>3</v>
      </c>
      <c r="BF350" t="s">
        <v>3</v>
      </c>
      <c r="BG350" t="s">
        <v>3</v>
      </c>
      <c r="BH350">
        <v>0</v>
      </c>
      <c r="BI350">
        <v>4</v>
      </c>
      <c r="BJ350" t="s">
        <v>44</v>
      </c>
      <c r="BM350">
        <v>0</v>
      </c>
      <c r="BN350">
        <v>0</v>
      </c>
      <c r="BO350" t="s">
        <v>3</v>
      </c>
      <c r="BP350">
        <v>0</v>
      </c>
      <c r="BQ350">
        <v>1</v>
      </c>
      <c r="BR350">
        <v>0</v>
      </c>
      <c r="BS350">
        <v>1</v>
      </c>
      <c r="BT350">
        <v>1</v>
      </c>
      <c r="BU350">
        <v>1</v>
      </c>
      <c r="BV350">
        <v>1</v>
      </c>
      <c r="BW350">
        <v>1</v>
      </c>
      <c r="BX350">
        <v>1</v>
      </c>
      <c r="BY350" t="s">
        <v>3</v>
      </c>
      <c r="BZ350">
        <v>70</v>
      </c>
      <c r="CA350">
        <v>10</v>
      </c>
      <c r="CF350">
        <v>0</v>
      </c>
      <c r="CG350">
        <v>0</v>
      </c>
      <c r="CM350">
        <v>0</v>
      </c>
      <c r="CN350" t="s">
        <v>3</v>
      </c>
      <c r="CO350">
        <v>0</v>
      </c>
      <c r="CP350">
        <f t="shared" si="273"/>
        <v>571.12</v>
      </c>
      <c r="CQ350">
        <f t="shared" si="274"/>
        <v>61659.15</v>
      </c>
      <c r="CR350">
        <f t="shared" ref="CR350:CR356" si="290">((((ET350)*BB350-(EU350)*BS350)+AE350*BS350)*AV350)</f>
        <v>7173.5499999999993</v>
      </c>
      <c r="CS350">
        <f t="shared" si="275"/>
        <v>2669.64</v>
      </c>
      <c r="CT350">
        <f t="shared" si="276"/>
        <v>2557.69</v>
      </c>
      <c r="CU350">
        <f t="shared" si="277"/>
        <v>0</v>
      </c>
      <c r="CV350">
        <f t="shared" si="278"/>
        <v>16.559999999999999</v>
      </c>
      <c r="CW350">
        <f t="shared" si="279"/>
        <v>0</v>
      </c>
      <c r="CX350">
        <f t="shared" si="280"/>
        <v>0</v>
      </c>
      <c r="CY350">
        <f t="shared" si="281"/>
        <v>14.322000000000001</v>
      </c>
      <c r="CZ350">
        <f t="shared" si="282"/>
        <v>2.0460000000000003</v>
      </c>
      <c r="DC350" t="s">
        <v>3</v>
      </c>
      <c r="DD350" t="s">
        <v>3</v>
      </c>
      <c r="DE350" t="s">
        <v>3</v>
      </c>
      <c r="DF350" t="s">
        <v>3</v>
      </c>
      <c r="DG350" t="s">
        <v>3</v>
      </c>
      <c r="DH350" t="s">
        <v>3</v>
      </c>
      <c r="DI350" t="s">
        <v>3</v>
      </c>
      <c r="DJ350" t="s">
        <v>3</v>
      </c>
      <c r="DK350" t="s">
        <v>3</v>
      </c>
      <c r="DL350" t="s">
        <v>3</v>
      </c>
      <c r="DM350" t="s">
        <v>3</v>
      </c>
      <c r="DN350">
        <v>0</v>
      </c>
      <c r="DO350">
        <v>0</v>
      </c>
      <c r="DP350">
        <v>1</v>
      </c>
      <c r="DQ350">
        <v>1</v>
      </c>
      <c r="DU350">
        <v>1007</v>
      </c>
      <c r="DV350" t="s">
        <v>17</v>
      </c>
      <c r="DW350" t="s">
        <v>17</v>
      </c>
      <c r="DX350">
        <v>100</v>
      </c>
      <c r="EE350">
        <v>34176748</v>
      </c>
      <c r="EF350">
        <v>1</v>
      </c>
      <c r="EG350" t="s">
        <v>19</v>
      </c>
      <c r="EH350">
        <v>0</v>
      </c>
      <c r="EI350" t="s">
        <v>3</v>
      </c>
      <c r="EJ350">
        <v>4</v>
      </c>
      <c r="EK350">
        <v>0</v>
      </c>
      <c r="EL350" t="s">
        <v>20</v>
      </c>
      <c r="EM350" t="s">
        <v>21</v>
      </c>
      <c r="EO350" t="s">
        <v>3</v>
      </c>
      <c r="EQ350">
        <v>0</v>
      </c>
      <c r="ER350">
        <v>71390.39</v>
      </c>
      <c r="ES350">
        <v>61659.15</v>
      </c>
      <c r="ET350">
        <v>7173.55</v>
      </c>
      <c r="EU350">
        <v>2669.64</v>
      </c>
      <c r="EV350">
        <v>2557.69</v>
      </c>
      <c r="EW350">
        <v>16.559999999999999</v>
      </c>
      <c r="EX350">
        <v>0</v>
      </c>
      <c r="EY350">
        <v>0</v>
      </c>
      <c r="FQ350">
        <v>0</v>
      </c>
      <c r="FR350">
        <f t="shared" si="283"/>
        <v>0</v>
      </c>
      <c r="FS350">
        <v>0</v>
      </c>
      <c r="FX350">
        <v>70</v>
      </c>
      <c r="FY350">
        <v>10</v>
      </c>
      <c r="GA350" t="s">
        <v>3</v>
      </c>
      <c r="GD350">
        <v>0</v>
      </c>
      <c r="GF350">
        <v>-1632936602</v>
      </c>
      <c r="GG350">
        <v>2</v>
      </c>
      <c r="GH350">
        <v>1</v>
      </c>
      <c r="GI350">
        <v>-2</v>
      </c>
      <c r="GJ350">
        <v>0</v>
      </c>
      <c r="GK350">
        <f>ROUND(R350*(R12)/100,2)</f>
        <v>23.07</v>
      </c>
      <c r="GL350">
        <f t="shared" si="284"/>
        <v>0</v>
      </c>
      <c r="GM350">
        <f t="shared" ref="GM350:GM356" si="291">ROUND(O350+X350+Y350+GK350,2)+GX350</f>
        <v>610.55999999999995</v>
      </c>
      <c r="GN350">
        <f t="shared" ref="GN350:GN356" si="292">IF(OR(BI350=0,BI350=1),ROUND(O350+X350+Y350+GK350,2),0)</f>
        <v>0</v>
      </c>
      <c r="GO350">
        <f t="shared" ref="GO350:GO356" si="293">IF(BI350=2,ROUND(O350+X350+Y350+GK350,2),0)</f>
        <v>0</v>
      </c>
      <c r="GP350">
        <f t="shared" ref="GP350:GP356" si="294">IF(BI350=4,ROUND(O350+X350+Y350+GK350,2)+GX350,0)</f>
        <v>610.55999999999995</v>
      </c>
      <c r="GR350">
        <v>0</v>
      </c>
      <c r="GS350">
        <v>3</v>
      </c>
      <c r="GT350">
        <v>0</v>
      </c>
      <c r="GU350" t="s">
        <v>3</v>
      </c>
      <c r="GV350">
        <f t="shared" si="285"/>
        <v>0</v>
      </c>
      <c r="GW350">
        <v>1</v>
      </c>
      <c r="GX350">
        <f t="shared" si="286"/>
        <v>0</v>
      </c>
      <c r="HA350">
        <v>0</v>
      </c>
      <c r="HB350">
        <v>0</v>
      </c>
      <c r="IK350">
        <v>0</v>
      </c>
    </row>
    <row r="351" spans="1:245" x14ac:dyDescent="0.2">
      <c r="A351">
        <v>17</v>
      </c>
      <c r="B351">
        <v>1</v>
      </c>
      <c r="C351">
        <f>ROW(SmtRes!A232)</f>
        <v>232</v>
      </c>
      <c r="D351">
        <f>ROW(EtalonRes!A232)</f>
        <v>232</v>
      </c>
      <c r="E351" t="s">
        <v>194</v>
      </c>
      <c r="F351" t="s">
        <v>46</v>
      </c>
      <c r="G351" t="s">
        <v>47</v>
      </c>
      <c r="H351" t="s">
        <v>17</v>
      </c>
      <c r="I351">
        <f>ROUND(I350,9)</f>
        <v>8.0000000000000002E-3</v>
      </c>
      <c r="J351">
        <v>0</v>
      </c>
      <c r="O351">
        <f t="shared" si="259"/>
        <v>2304.9899999999998</v>
      </c>
      <c r="P351">
        <f t="shared" si="260"/>
        <v>1927.88</v>
      </c>
      <c r="Q351">
        <f t="shared" si="261"/>
        <v>346.42</v>
      </c>
      <c r="R351">
        <f t="shared" si="262"/>
        <v>127.15</v>
      </c>
      <c r="S351">
        <f t="shared" si="263"/>
        <v>30.69</v>
      </c>
      <c r="T351">
        <f t="shared" si="264"/>
        <v>0</v>
      </c>
      <c r="U351">
        <f t="shared" si="265"/>
        <v>0.19872000000000001</v>
      </c>
      <c r="V351">
        <f t="shared" si="266"/>
        <v>0</v>
      </c>
      <c r="W351">
        <f t="shared" si="267"/>
        <v>0</v>
      </c>
      <c r="X351">
        <f t="shared" si="268"/>
        <v>21.48</v>
      </c>
      <c r="Y351">
        <f t="shared" si="269"/>
        <v>3.07</v>
      </c>
      <c r="AA351">
        <v>37598633</v>
      </c>
      <c r="AB351">
        <f t="shared" si="270"/>
        <v>288124.17</v>
      </c>
      <c r="AC351">
        <f>ROUND((ES351),6)</f>
        <v>240984.87</v>
      </c>
      <c r="AD351">
        <f t="shared" si="287"/>
        <v>43302.76</v>
      </c>
      <c r="AE351">
        <f t="shared" si="288"/>
        <v>15894.37</v>
      </c>
      <c r="AF351">
        <f t="shared" si="288"/>
        <v>3836.54</v>
      </c>
      <c r="AG351">
        <f t="shared" si="271"/>
        <v>0</v>
      </c>
      <c r="AH351">
        <f t="shared" si="289"/>
        <v>24.84</v>
      </c>
      <c r="AI351">
        <f t="shared" si="289"/>
        <v>0</v>
      </c>
      <c r="AJ351">
        <f t="shared" si="272"/>
        <v>0</v>
      </c>
      <c r="AK351">
        <v>288124.17</v>
      </c>
      <c r="AL351">
        <v>240984.87</v>
      </c>
      <c r="AM351">
        <v>43302.76</v>
      </c>
      <c r="AN351">
        <v>15894.37</v>
      </c>
      <c r="AO351">
        <v>3836.54</v>
      </c>
      <c r="AP351">
        <v>0</v>
      </c>
      <c r="AQ351">
        <v>24.84</v>
      </c>
      <c r="AR351">
        <v>0</v>
      </c>
      <c r="AS351">
        <v>0</v>
      </c>
      <c r="AT351">
        <v>70</v>
      </c>
      <c r="AU351">
        <v>10</v>
      </c>
      <c r="AV351">
        <v>1</v>
      </c>
      <c r="AW351">
        <v>1</v>
      </c>
      <c r="AZ351">
        <v>1</v>
      </c>
      <c r="BA351">
        <v>1</v>
      </c>
      <c r="BB351">
        <v>1</v>
      </c>
      <c r="BC351">
        <v>1</v>
      </c>
      <c r="BD351" t="s">
        <v>3</v>
      </c>
      <c r="BE351" t="s">
        <v>3</v>
      </c>
      <c r="BF351" t="s">
        <v>3</v>
      </c>
      <c r="BG351" t="s">
        <v>3</v>
      </c>
      <c r="BH351">
        <v>0</v>
      </c>
      <c r="BI351">
        <v>4</v>
      </c>
      <c r="BJ351" t="s">
        <v>48</v>
      </c>
      <c r="BM351">
        <v>0</v>
      </c>
      <c r="BN351">
        <v>0</v>
      </c>
      <c r="BO351" t="s">
        <v>3</v>
      </c>
      <c r="BP351">
        <v>0</v>
      </c>
      <c r="BQ351">
        <v>1</v>
      </c>
      <c r="BR351">
        <v>0</v>
      </c>
      <c r="BS351">
        <v>1</v>
      </c>
      <c r="BT351">
        <v>1</v>
      </c>
      <c r="BU351">
        <v>1</v>
      </c>
      <c r="BV351">
        <v>1</v>
      </c>
      <c r="BW351">
        <v>1</v>
      </c>
      <c r="BX351">
        <v>1</v>
      </c>
      <c r="BY351" t="s">
        <v>3</v>
      </c>
      <c r="BZ351">
        <v>70</v>
      </c>
      <c r="CA351">
        <v>10</v>
      </c>
      <c r="CF351">
        <v>0</v>
      </c>
      <c r="CG351">
        <v>0</v>
      </c>
      <c r="CM351">
        <v>0</v>
      </c>
      <c r="CN351" t="s">
        <v>3</v>
      </c>
      <c r="CO351">
        <v>0</v>
      </c>
      <c r="CP351">
        <f t="shared" si="273"/>
        <v>2304.9900000000002</v>
      </c>
      <c r="CQ351">
        <f t="shared" si="274"/>
        <v>240984.87</v>
      </c>
      <c r="CR351">
        <f t="shared" si="290"/>
        <v>43302.76</v>
      </c>
      <c r="CS351">
        <f t="shared" si="275"/>
        <v>15894.37</v>
      </c>
      <c r="CT351">
        <f t="shared" si="276"/>
        <v>3836.54</v>
      </c>
      <c r="CU351">
        <f t="shared" si="277"/>
        <v>0</v>
      </c>
      <c r="CV351">
        <f t="shared" si="278"/>
        <v>24.84</v>
      </c>
      <c r="CW351">
        <f t="shared" si="279"/>
        <v>0</v>
      </c>
      <c r="CX351">
        <f t="shared" si="280"/>
        <v>0</v>
      </c>
      <c r="CY351">
        <f t="shared" si="281"/>
        <v>21.483000000000001</v>
      </c>
      <c r="CZ351">
        <f t="shared" si="282"/>
        <v>3.0690000000000004</v>
      </c>
      <c r="DC351" t="s">
        <v>3</v>
      </c>
      <c r="DD351" t="s">
        <v>3</v>
      </c>
      <c r="DE351" t="s">
        <v>3</v>
      </c>
      <c r="DF351" t="s">
        <v>3</v>
      </c>
      <c r="DG351" t="s">
        <v>3</v>
      </c>
      <c r="DH351" t="s">
        <v>3</v>
      </c>
      <c r="DI351" t="s">
        <v>3</v>
      </c>
      <c r="DJ351" t="s">
        <v>3</v>
      </c>
      <c r="DK351" t="s">
        <v>3</v>
      </c>
      <c r="DL351" t="s">
        <v>3</v>
      </c>
      <c r="DM351" t="s">
        <v>3</v>
      </c>
      <c r="DN351">
        <v>0</v>
      </c>
      <c r="DO351">
        <v>0</v>
      </c>
      <c r="DP351">
        <v>1</v>
      </c>
      <c r="DQ351">
        <v>1</v>
      </c>
      <c r="DU351">
        <v>1007</v>
      </c>
      <c r="DV351" t="s">
        <v>17</v>
      </c>
      <c r="DW351" t="s">
        <v>17</v>
      </c>
      <c r="DX351">
        <v>100</v>
      </c>
      <c r="EE351">
        <v>34176748</v>
      </c>
      <c r="EF351">
        <v>1</v>
      </c>
      <c r="EG351" t="s">
        <v>19</v>
      </c>
      <c r="EH351">
        <v>0</v>
      </c>
      <c r="EI351" t="s">
        <v>3</v>
      </c>
      <c r="EJ351">
        <v>4</v>
      </c>
      <c r="EK351">
        <v>0</v>
      </c>
      <c r="EL351" t="s">
        <v>20</v>
      </c>
      <c r="EM351" t="s">
        <v>21</v>
      </c>
      <c r="EO351" t="s">
        <v>3</v>
      </c>
      <c r="EQ351">
        <v>0</v>
      </c>
      <c r="ER351">
        <v>288124.17</v>
      </c>
      <c r="ES351">
        <v>240984.87</v>
      </c>
      <c r="ET351">
        <v>43302.76</v>
      </c>
      <c r="EU351">
        <v>15894.37</v>
      </c>
      <c r="EV351">
        <v>3836.54</v>
      </c>
      <c r="EW351">
        <v>24.84</v>
      </c>
      <c r="EX351">
        <v>0</v>
      </c>
      <c r="EY351">
        <v>0</v>
      </c>
      <c r="FQ351">
        <v>0</v>
      </c>
      <c r="FR351">
        <f t="shared" si="283"/>
        <v>0</v>
      </c>
      <c r="FS351">
        <v>0</v>
      </c>
      <c r="FX351">
        <v>70</v>
      </c>
      <c r="FY351">
        <v>10</v>
      </c>
      <c r="GA351" t="s">
        <v>3</v>
      </c>
      <c r="GD351">
        <v>0</v>
      </c>
      <c r="GF351">
        <v>-2078164180</v>
      </c>
      <c r="GG351">
        <v>2</v>
      </c>
      <c r="GH351">
        <v>1</v>
      </c>
      <c r="GI351">
        <v>-2</v>
      </c>
      <c r="GJ351">
        <v>0</v>
      </c>
      <c r="GK351">
        <f>ROUND(R351*(R12)/100,2)</f>
        <v>137.32</v>
      </c>
      <c r="GL351">
        <f t="shared" si="284"/>
        <v>0</v>
      </c>
      <c r="GM351">
        <f t="shared" si="291"/>
        <v>2466.86</v>
      </c>
      <c r="GN351">
        <f t="shared" si="292"/>
        <v>0</v>
      </c>
      <c r="GO351">
        <f t="shared" si="293"/>
        <v>0</v>
      </c>
      <c r="GP351">
        <f t="shared" si="294"/>
        <v>2466.86</v>
      </c>
      <c r="GR351">
        <v>0</v>
      </c>
      <c r="GS351">
        <v>3</v>
      </c>
      <c r="GT351">
        <v>0</v>
      </c>
      <c r="GU351" t="s">
        <v>3</v>
      </c>
      <c r="GV351">
        <f t="shared" si="285"/>
        <v>0</v>
      </c>
      <c r="GW351">
        <v>1</v>
      </c>
      <c r="GX351">
        <f t="shared" si="286"/>
        <v>0</v>
      </c>
      <c r="HA351">
        <v>0</v>
      </c>
      <c r="HB351">
        <v>0</v>
      </c>
      <c r="IK351">
        <v>0</v>
      </c>
    </row>
    <row r="352" spans="1:245" x14ac:dyDescent="0.2">
      <c r="A352">
        <v>17</v>
      </c>
      <c r="B352">
        <v>1</v>
      </c>
      <c r="C352">
        <f>ROW(SmtRes!A236)</f>
        <v>236</v>
      </c>
      <c r="D352">
        <f>ROW(EtalonRes!A236)</f>
        <v>236</v>
      </c>
      <c r="E352" t="s">
        <v>195</v>
      </c>
      <c r="F352" t="s">
        <v>50</v>
      </c>
      <c r="G352" t="s">
        <v>125</v>
      </c>
      <c r="H352" t="s">
        <v>52</v>
      </c>
      <c r="I352">
        <f>ROUND(8/100,9)</f>
        <v>0.08</v>
      </c>
      <c r="J352">
        <v>0</v>
      </c>
      <c r="O352">
        <f t="shared" si="259"/>
        <v>2522.5100000000002</v>
      </c>
      <c r="P352">
        <f t="shared" si="260"/>
        <v>2217.2399999999998</v>
      </c>
      <c r="Q352">
        <f t="shared" si="261"/>
        <v>98.84</v>
      </c>
      <c r="R352">
        <f t="shared" si="262"/>
        <v>57.26</v>
      </c>
      <c r="S352">
        <f t="shared" si="263"/>
        <v>206.43</v>
      </c>
      <c r="T352">
        <f t="shared" si="264"/>
        <v>0</v>
      </c>
      <c r="U352">
        <f t="shared" si="265"/>
        <v>1.0856000000000001</v>
      </c>
      <c r="V352">
        <f t="shared" si="266"/>
        <v>0</v>
      </c>
      <c r="W352">
        <f t="shared" si="267"/>
        <v>0</v>
      </c>
      <c r="X352">
        <f t="shared" si="268"/>
        <v>144.5</v>
      </c>
      <c r="Y352">
        <f t="shared" si="269"/>
        <v>20.64</v>
      </c>
      <c r="AA352">
        <v>37598633</v>
      </c>
      <c r="AB352">
        <f t="shared" si="270"/>
        <v>31531.377499999999</v>
      </c>
      <c r="AC352">
        <f>ROUND((((ES352/4)*5)),6)</f>
        <v>27715.537499999999</v>
      </c>
      <c r="AD352">
        <f t="shared" si="287"/>
        <v>1235.5</v>
      </c>
      <c r="AE352">
        <f t="shared" si="288"/>
        <v>715.73</v>
      </c>
      <c r="AF352">
        <f t="shared" si="288"/>
        <v>2580.34</v>
      </c>
      <c r="AG352">
        <f t="shared" si="271"/>
        <v>0</v>
      </c>
      <c r="AH352">
        <f t="shared" si="289"/>
        <v>13.57</v>
      </c>
      <c r="AI352">
        <f t="shared" si="289"/>
        <v>0</v>
      </c>
      <c r="AJ352">
        <f t="shared" si="272"/>
        <v>0</v>
      </c>
      <c r="AK352">
        <v>25988.27</v>
      </c>
      <c r="AL352">
        <v>22172.43</v>
      </c>
      <c r="AM352">
        <v>1235.5</v>
      </c>
      <c r="AN352">
        <v>715.73</v>
      </c>
      <c r="AO352">
        <v>2580.34</v>
      </c>
      <c r="AP352">
        <v>0</v>
      </c>
      <c r="AQ352">
        <v>13.57</v>
      </c>
      <c r="AR352">
        <v>0</v>
      </c>
      <c r="AS352">
        <v>0</v>
      </c>
      <c r="AT352">
        <v>70</v>
      </c>
      <c r="AU352">
        <v>10</v>
      </c>
      <c r="AV352">
        <v>1</v>
      </c>
      <c r="AW352">
        <v>1</v>
      </c>
      <c r="AZ352">
        <v>1</v>
      </c>
      <c r="BA352">
        <v>1</v>
      </c>
      <c r="BB352">
        <v>1</v>
      </c>
      <c r="BC352">
        <v>1</v>
      </c>
      <c r="BD352" t="s">
        <v>3</v>
      </c>
      <c r="BE352" t="s">
        <v>3</v>
      </c>
      <c r="BF352" t="s">
        <v>3</v>
      </c>
      <c r="BG352" t="s">
        <v>3</v>
      </c>
      <c r="BH352">
        <v>0</v>
      </c>
      <c r="BI352">
        <v>4</v>
      </c>
      <c r="BJ352" t="s">
        <v>53</v>
      </c>
      <c r="BM352">
        <v>0</v>
      </c>
      <c r="BN352">
        <v>0</v>
      </c>
      <c r="BO352" t="s">
        <v>3</v>
      </c>
      <c r="BP352">
        <v>0</v>
      </c>
      <c r="BQ352">
        <v>1</v>
      </c>
      <c r="BR352">
        <v>0</v>
      </c>
      <c r="BS352">
        <v>1</v>
      </c>
      <c r="BT352">
        <v>1</v>
      </c>
      <c r="BU352">
        <v>1</v>
      </c>
      <c r="BV352">
        <v>1</v>
      </c>
      <c r="BW352">
        <v>1</v>
      </c>
      <c r="BX352">
        <v>1</v>
      </c>
      <c r="BY352" t="s">
        <v>3</v>
      </c>
      <c r="BZ352">
        <v>70</v>
      </c>
      <c r="CA352">
        <v>10</v>
      </c>
      <c r="CF352">
        <v>0</v>
      </c>
      <c r="CG352">
        <v>0</v>
      </c>
      <c r="CM352">
        <v>0</v>
      </c>
      <c r="CN352" t="s">
        <v>3</v>
      </c>
      <c r="CO352">
        <v>0</v>
      </c>
      <c r="CP352">
        <f t="shared" si="273"/>
        <v>2522.5099999999998</v>
      </c>
      <c r="CQ352">
        <f t="shared" si="274"/>
        <v>27715.537499999999</v>
      </c>
      <c r="CR352">
        <f t="shared" si="290"/>
        <v>1235.5</v>
      </c>
      <c r="CS352">
        <f t="shared" si="275"/>
        <v>715.73</v>
      </c>
      <c r="CT352">
        <f t="shared" si="276"/>
        <v>2580.34</v>
      </c>
      <c r="CU352">
        <f t="shared" si="277"/>
        <v>0</v>
      </c>
      <c r="CV352">
        <f t="shared" si="278"/>
        <v>13.57</v>
      </c>
      <c r="CW352">
        <f t="shared" si="279"/>
        <v>0</v>
      </c>
      <c r="CX352">
        <f t="shared" si="280"/>
        <v>0</v>
      </c>
      <c r="CY352">
        <f t="shared" si="281"/>
        <v>144.501</v>
      </c>
      <c r="CZ352">
        <f t="shared" si="282"/>
        <v>20.643000000000001</v>
      </c>
      <c r="DC352" t="s">
        <v>3</v>
      </c>
      <c r="DD352" t="s">
        <v>54</v>
      </c>
      <c r="DE352" t="s">
        <v>3</v>
      </c>
      <c r="DF352" t="s">
        <v>3</v>
      </c>
      <c r="DG352" t="s">
        <v>3</v>
      </c>
      <c r="DH352" t="s">
        <v>3</v>
      </c>
      <c r="DI352" t="s">
        <v>3</v>
      </c>
      <c r="DJ352" t="s">
        <v>3</v>
      </c>
      <c r="DK352" t="s">
        <v>3</v>
      </c>
      <c r="DL352" t="s">
        <v>3</v>
      </c>
      <c r="DM352" t="s">
        <v>3</v>
      </c>
      <c r="DN352">
        <v>0</v>
      </c>
      <c r="DO352">
        <v>0</v>
      </c>
      <c r="DP352">
        <v>1</v>
      </c>
      <c r="DQ352">
        <v>1</v>
      </c>
      <c r="DU352">
        <v>1005</v>
      </c>
      <c r="DV352" t="s">
        <v>52</v>
      </c>
      <c r="DW352" t="s">
        <v>52</v>
      </c>
      <c r="DX352">
        <v>100</v>
      </c>
      <c r="EE352">
        <v>34176748</v>
      </c>
      <c r="EF352">
        <v>1</v>
      </c>
      <c r="EG352" t="s">
        <v>19</v>
      </c>
      <c r="EH352">
        <v>0</v>
      </c>
      <c r="EI352" t="s">
        <v>3</v>
      </c>
      <c r="EJ352">
        <v>4</v>
      </c>
      <c r="EK352">
        <v>0</v>
      </c>
      <c r="EL352" t="s">
        <v>20</v>
      </c>
      <c r="EM352" t="s">
        <v>21</v>
      </c>
      <c r="EO352" t="s">
        <v>3</v>
      </c>
      <c r="EQ352">
        <v>0</v>
      </c>
      <c r="ER352">
        <v>25988.27</v>
      </c>
      <c r="ES352">
        <v>22172.43</v>
      </c>
      <c r="ET352">
        <v>1235.5</v>
      </c>
      <c r="EU352">
        <v>715.73</v>
      </c>
      <c r="EV352">
        <v>2580.34</v>
      </c>
      <c r="EW352">
        <v>13.57</v>
      </c>
      <c r="EX352">
        <v>0</v>
      </c>
      <c r="EY352">
        <v>0</v>
      </c>
      <c r="FQ352">
        <v>0</v>
      </c>
      <c r="FR352">
        <f t="shared" si="283"/>
        <v>0</v>
      </c>
      <c r="FS352">
        <v>0</v>
      </c>
      <c r="FX352">
        <v>70</v>
      </c>
      <c r="FY352">
        <v>10</v>
      </c>
      <c r="GA352" t="s">
        <v>3</v>
      </c>
      <c r="GD352">
        <v>0</v>
      </c>
      <c r="GF352">
        <v>1972566933</v>
      </c>
      <c r="GG352">
        <v>2</v>
      </c>
      <c r="GH352">
        <v>1</v>
      </c>
      <c r="GI352">
        <v>-2</v>
      </c>
      <c r="GJ352">
        <v>0</v>
      </c>
      <c r="GK352">
        <f>ROUND(R352*(R12)/100,2)</f>
        <v>61.84</v>
      </c>
      <c r="GL352">
        <f t="shared" si="284"/>
        <v>0</v>
      </c>
      <c r="GM352">
        <f t="shared" si="291"/>
        <v>2749.49</v>
      </c>
      <c r="GN352">
        <f t="shared" si="292"/>
        <v>0</v>
      </c>
      <c r="GO352">
        <f t="shared" si="293"/>
        <v>0</v>
      </c>
      <c r="GP352">
        <f t="shared" si="294"/>
        <v>2749.49</v>
      </c>
      <c r="GR352">
        <v>0</v>
      </c>
      <c r="GS352">
        <v>3</v>
      </c>
      <c r="GT352">
        <v>0</v>
      </c>
      <c r="GU352" t="s">
        <v>3</v>
      </c>
      <c r="GV352">
        <f t="shared" si="285"/>
        <v>0</v>
      </c>
      <c r="GW352">
        <v>1</v>
      </c>
      <c r="GX352">
        <f t="shared" si="286"/>
        <v>0</v>
      </c>
      <c r="HA352">
        <v>0</v>
      </c>
      <c r="HB352">
        <v>0</v>
      </c>
      <c r="IK352">
        <v>0</v>
      </c>
    </row>
    <row r="353" spans="1:245" x14ac:dyDescent="0.2">
      <c r="A353">
        <v>17</v>
      </c>
      <c r="B353">
        <v>1</v>
      </c>
      <c r="C353">
        <f>ROW(SmtRes!A246)</f>
        <v>246</v>
      </c>
      <c r="D353">
        <f>ROW(EtalonRes!A246)</f>
        <v>246</v>
      </c>
      <c r="E353" t="s">
        <v>196</v>
      </c>
      <c r="F353" t="s">
        <v>166</v>
      </c>
      <c r="G353" t="s">
        <v>167</v>
      </c>
      <c r="H353" t="s">
        <v>52</v>
      </c>
      <c r="I353">
        <f>ROUND(I352,9)</f>
        <v>0.08</v>
      </c>
      <c r="J353">
        <v>0</v>
      </c>
      <c r="O353">
        <f t="shared" si="259"/>
        <v>6535.43</v>
      </c>
      <c r="P353">
        <f t="shared" si="260"/>
        <v>6106.43</v>
      </c>
      <c r="Q353">
        <f t="shared" si="261"/>
        <v>158.02000000000001</v>
      </c>
      <c r="R353">
        <f t="shared" si="262"/>
        <v>120.55</v>
      </c>
      <c r="S353">
        <f t="shared" si="263"/>
        <v>270.98</v>
      </c>
      <c r="T353">
        <f t="shared" si="264"/>
        <v>0</v>
      </c>
      <c r="U353">
        <f t="shared" si="265"/>
        <v>1.4752000000000001</v>
      </c>
      <c r="V353">
        <f t="shared" si="266"/>
        <v>0</v>
      </c>
      <c r="W353">
        <f t="shared" si="267"/>
        <v>0</v>
      </c>
      <c r="X353">
        <f t="shared" si="268"/>
        <v>189.69</v>
      </c>
      <c r="Y353">
        <f t="shared" si="269"/>
        <v>27.1</v>
      </c>
      <c r="AA353">
        <v>37598633</v>
      </c>
      <c r="AB353">
        <f t="shared" si="270"/>
        <v>81692.86</v>
      </c>
      <c r="AC353">
        <f>ROUND((ES353),6)</f>
        <v>76330.37</v>
      </c>
      <c r="AD353">
        <f t="shared" si="287"/>
        <v>1975.28</v>
      </c>
      <c r="AE353">
        <f t="shared" si="288"/>
        <v>1506.92</v>
      </c>
      <c r="AF353">
        <f t="shared" si="288"/>
        <v>3387.21</v>
      </c>
      <c r="AG353">
        <f t="shared" si="271"/>
        <v>0</v>
      </c>
      <c r="AH353">
        <f t="shared" si="289"/>
        <v>18.440000000000001</v>
      </c>
      <c r="AI353">
        <f t="shared" si="289"/>
        <v>0</v>
      </c>
      <c r="AJ353">
        <f t="shared" si="272"/>
        <v>0</v>
      </c>
      <c r="AK353">
        <v>81692.86</v>
      </c>
      <c r="AL353">
        <v>76330.37</v>
      </c>
      <c r="AM353">
        <v>1975.28</v>
      </c>
      <c r="AN353">
        <v>1506.92</v>
      </c>
      <c r="AO353">
        <v>3387.21</v>
      </c>
      <c r="AP353">
        <v>0</v>
      </c>
      <c r="AQ353">
        <v>18.440000000000001</v>
      </c>
      <c r="AR353">
        <v>0</v>
      </c>
      <c r="AS353">
        <v>0</v>
      </c>
      <c r="AT353">
        <v>70</v>
      </c>
      <c r="AU353">
        <v>10</v>
      </c>
      <c r="AV353">
        <v>1</v>
      </c>
      <c r="AW353">
        <v>1</v>
      </c>
      <c r="AZ353">
        <v>1</v>
      </c>
      <c r="BA353">
        <v>1</v>
      </c>
      <c r="BB353">
        <v>1</v>
      </c>
      <c r="BC353">
        <v>1</v>
      </c>
      <c r="BD353" t="s">
        <v>3</v>
      </c>
      <c r="BE353" t="s">
        <v>3</v>
      </c>
      <c r="BF353" t="s">
        <v>3</v>
      </c>
      <c r="BG353" t="s">
        <v>3</v>
      </c>
      <c r="BH353">
        <v>0</v>
      </c>
      <c r="BI353">
        <v>4</v>
      </c>
      <c r="BJ353" t="s">
        <v>168</v>
      </c>
      <c r="BM353">
        <v>0</v>
      </c>
      <c r="BN353">
        <v>0</v>
      </c>
      <c r="BO353" t="s">
        <v>3</v>
      </c>
      <c r="BP353">
        <v>0</v>
      </c>
      <c r="BQ353">
        <v>1</v>
      </c>
      <c r="BR353">
        <v>0</v>
      </c>
      <c r="BS353">
        <v>1</v>
      </c>
      <c r="BT353">
        <v>1</v>
      </c>
      <c r="BU353">
        <v>1</v>
      </c>
      <c r="BV353">
        <v>1</v>
      </c>
      <c r="BW353">
        <v>1</v>
      </c>
      <c r="BX353">
        <v>1</v>
      </c>
      <c r="BY353" t="s">
        <v>3</v>
      </c>
      <c r="BZ353">
        <v>70</v>
      </c>
      <c r="CA353">
        <v>10</v>
      </c>
      <c r="CF353">
        <v>0</v>
      </c>
      <c r="CG353">
        <v>0</v>
      </c>
      <c r="CM353">
        <v>0</v>
      </c>
      <c r="CN353" t="s">
        <v>3</v>
      </c>
      <c r="CO353">
        <v>0</v>
      </c>
      <c r="CP353">
        <f t="shared" si="273"/>
        <v>6535.43</v>
      </c>
      <c r="CQ353">
        <f t="shared" si="274"/>
        <v>76330.37</v>
      </c>
      <c r="CR353">
        <f t="shared" si="290"/>
        <v>1975.28</v>
      </c>
      <c r="CS353">
        <f t="shared" si="275"/>
        <v>1506.92</v>
      </c>
      <c r="CT353">
        <f t="shared" si="276"/>
        <v>3387.21</v>
      </c>
      <c r="CU353">
        <f t="shared" si="277"/>
        <v>0</v>
      </c>
      <c r="CV353">
        <f t="shared" si="278"/>
        <v>18.440000000000001</v>
      </c>
      <c r="CW353">
        <f t="shared" si="279"/>
        <v>0</v>
      </c>
      <c r="CX353">
        <f t="shared" si="280"/>
        <v>0</v>
      </c>
      <c r="CY353">
        <f t="shared" si="281"/>
        <v>189.68600000000004</v>
      </c>
      <c r="CZ353">
        <f t="shared" si="282"/>
        <v>27.098000000000003</v>
      </c>
      <c r="DC353" t="s">
        <v>3</v>
      </c>
      <c r="DD353" t="s">
        <v>3</v>
      </c>
      <c r="DE353" t="s">
        <v>3</v>
      </c>
      <c r="DF353" t="s">
        <v>3</v>
      </c>
      <c r="DG353" t="s">
        <v>3</v>
      </c>
      <c r="DH353" t="s">
        <v>3</v>
      </c>
      <c r="DI353" t="s">
        <v>3</v>
      </c>
      <c r="DJ353" t="s">
        <v>3</v>
      </c>
      <c r="DK353" t="s">
        <v>3</v>
      </c>
      <c r="DL353" t="s">
        <v>3</v>
      </c>
      <c r="DM353" t="s">
        <v>3</v>
      </c>
      <c r="DN353">
        <v>0</v>
      </c>
      <c r="DO353">
        <v>0</v>
      </c>
      <c r="DP353">
        <v>1</v>
      </c>
      <c r="DQ353">
        <v>1</v>
      </c>
      <c r="DU353">
        <v>1005</v>
      </c>
      <c r="DV353" t="s">
        <v>52</v>
      </c>
      <c r="DW353" t="s">
        <v>52</v>
      </c>
      <c r="DX353">
        <v>100</v>
      </c>
      <c r="EE353">
        <v>34176748</v>
      </c>
      <c r="EF353">
        <v>1</v>
      </c>
      <c r="EG353" t="s">
        <v>19</v>
      </c>
      <c r="EH353">
        <v>0</v>
      </c>
      <c r="EI353" t="s">
        <v>3</v>
      </c>
      <c r="EJ353">
        <v>4</v>
      </c>
      <c r="EK353">
        <v>0</v>
      </c>
      <c r="EL353" t="s">
        <v>20</v>
      </c>
      <c r="EM353" t="s">
        <v>21</v>
      </c>
      <c r="EO353" t="s">
        <v>3</v>
      </c>
      <c r="EQ353">
        <v>0</v>
      </c>
      <c r="ER353">
        <v>81692.86</v>
      </c>
      <c r="ES353">
        <v>76330.37</v>
      </c>
      <c r="ET353">
        <v>1975.28</v>
      </c>
      <c r="EU353">
        <v>1506.92</v>
      </c>
      <c r="EV353">
        <v>3387.21</v>
      </c>
      <c r="EW353">
        <v>18.440000000000001</v>
      </c>
      <c r="EX353">
        <v>0</v>
      </c>
      <c r="EY353">
        <v>0</v>
      </c>
      <c r="FQ353">
        <v>0</v>
      </c>
      <c r="FR353">
        <f t="shared" si="283"/>
        <v>0</v>
      </c>
      <c r="FS353">
        <v>0</v>
      </c>
      <c r="FX353">
        <v>70</v>
      </c>
      <c r="FY353">
        <v>10</v>
      </c>
      <c r="GA353" t="s">
        <v>3</v>
      </c>
      <c r="GD353">
        <v>0</v>
      </c>
      <c r="GF353">
        <v>71085136</v>
      </c>
      <c r="GG353">
        <v>2</v>
      </c>
      <c r="GH353">
        <v>1</v>
      </c>
      <c r="GI353">
        <v>-2</v>
      </c>
      <c r="GJ353">
        <v>0</v>
      </c>
      <c r="GK353">
        <f>ROUND(R353*(R12)/100,2)</f>
        <v>130.19</v>
      </c>
      <c r="GL353">
        <f t="shared" si="284"/>
        <v>0</v>
      </c>
      <c r="GM353">
        <f t="shared" si="291"/>
        <v>6882.41</v>
      </c>
      <c r="GN353">
        <f t="shared" si="292"/>
        <v>0</v>
      </c>
      <c r="GO353">
        <f t="shared" si="293"/>
        <v>0</v>
      </c>
      <c r="GP353">
        <f t="shared" si="294"/>
        <v>6882.41</v>
      </c>
      <c r="GR353">
        <v>0</v>
      </c>
      <c r="GS353">
        <v>3</v>
      </c>
      <c r="GT353">
        <v>0</v>
      </c>
      <c r="GU353" t="s">
        <v>3</v>
      </c>
      <c r="GV353">
        <f t="shared" si="285"/>
        <v>0</v>
      </c>
      <c r="GW353">
        <v>1</v>
      </c>
      <c r="GX353">
        <f t="shared" si="286"/>
        <v>0</v>
      </c>
      <c r="HA353">
        <v>0</v>
      </c>
      <c r="HB353">
        <v>0</v>
      </c>
      <c r="IK353">
        <v>0</v>
      </c>
    </row>
    <row r="354" spans="1:245" x14ac:dyDescent="0.2">
      <c r="A354">
        <v>17</v>
      </c>
      <c r="B354">
        <v>1</v>
      </c>
      <c r="C354">
        <f>ROW(SmtRes!A252)</f>
        <v>252</v>
      </c>
      <c r="D354">
        <f>ROW(EtalonRes!A252)</f>
        <v>252</v>
      </c>
      <c r="E354" t="s">
        <v>197</v>
      </c>
      <c r="F354" t="s">
        <v>170</v>
      </c>
      <c r="G354" t="s">
        <v>171</v>
      </c>
      <c r="H354" t="s">
        <v>52</v>
      </c>
      <c r="I354">
        <f>ROUND(I353,9)</f>
        <v>0.08</v>
      </c>
      <c r="J354">
        <v>0</v>
      </c>
      <c r="O354">
        <f t="shared" si="259"/>
        <v>1196.6500000000001</v>
      </c>
      <c r="P354">
        <f t="shared" si="260"/>
        <v>1126.78</v>
      </c>
      <c r="Q354">
        <f t="shared" si="261"/>
        <v>29.75</v>
      </c>
      <c r="R354">
        <f t="shared" si="262"/>
        <v>22.76</v>
      </c>
      <c r="S354">
        <f t="shared" si="263"/>
        <v>40.119999999999997</v>
      </c>
      <c r="T354">
        <f t="shared" si="264"/>
        <v>0</v>
      </c>
      <c r="U354">
        <f t="shared" si="265"/>
        <v>0.21199999999999999</v>
      </c>
      <c r="V354">
        <f t="shared" si="266"/>
        <v>0</v>
      </c>
      <c r="W354">
        <f t="shared" si="267"/>
        <v>0</v>
      </c>
      <c r="X354">
        <f t="shared" si="268"/>
        <v>28.08</v>
      </c>
      <c r="Y354">
        <f t="shared" si="269"/>
        <v>4.01</v>
      </c>
      <c r="AA354">
        <v>37598633</v>
      </c>
      <c r="AB354">
        <f t="shared" si="270"/>
        <v>14958.03</v>
      </c>
      <c r="AC354">
        <f>ROUND((ES354),6)</f>
        <v>14084.7</v>
      </c>
      <c r="AD354">
        <f t="shared" si="287"/>
        <v>371.84</v>
      </c>
      <c r="AE354">
        <f t="shared" si="288"/>
        <v>284.52999999999997</v>
      </c>
      <c r="AF354">
        <f t="shared" si="288"/>
        <v>501.49</v>
      </c>
      <c r="AG354">
        <f t="shared" si="271"/>
        <v>0</v>
      </c>
      <c r="AH354">
        <f t="shared" si="289"/>
        <v>2.65</v>
      </c>
      <c r="AI354">
        <f t="shared" si="289"/>
        <v>0</v>
      </c>
      <c r="AJ354">
        <f t="shared" si="272"/>
        <v>0</v>
      </c>
      <c r="AK354">
        <v>14958.03</v>
      </c>
      <c r="AL354">
        <v>14084.7</v>
      </c>
      <c r="AM354">
        <v>371.84</v>
      </c>
      <c r="AN354">
        <v>284.52999999999997</v>
      </c>
      <c r="AO354">
        <v>501.49</v>
      </c>
      <c r="AP354">
        <v>0</v>
      </c>
      <c r="AQ354">
        <v>2.65</v>
      </c>
      <c r="AR354">
        <v>0</v>
      </c>
      <c r="AS354">
        <v>0</v>
      </c>
      <c r="AT354">
        <v>70</v>
      </c>
      <c r="AU354">
        <v>10</v>
      </c>
      <c r="AV354">
        <v>1</v>
      </c>
      <c r="AW354">
        <v>1</v>
      </c>
      <c r="AZ354">
        <v>1</v>
      </c>
      <c r="BA354">
        <v>1</v>
      </c>
      <c r="BB354">
        <v>1</v>
      </c>
      <c r="BC354">
        <v>1</v>
      </c>
      <c r="BD354" t="s">
        <v>3</v>
      </c>
      <c r="BE354" t="s">
        <v>3</v>
      </c>
      <c r="BF354" t="s">
        <v>3</v>
      </c>
      <c r="BG354" t="s">
        <v>3</v>
      </c>
      <c r="BH354">
        <v>0</v>
      </c>
      <c r="BI354">
        <v>4</v>
      </c>
      <c r="BJ354" t="s">
        <v>172</v>
      </c>
      <c r="BM354">
        <v>0</v>
      </c>
      <c r="BN354">
        <v>0</v>
      </c>
      <c r="BO354" t="s">
        <v>3</v>
      </c>
      <c r="BP354">
        <v>0</v>
      </c>
      <c r="BQ354">
        <v>1</v>
      </c>
      <c r="BR354">
        <v>0</v>
      </c>
      <c r="BS354">
        <v>1</v>
      </c>
      <c r="BT354">
        <v>1</v>
      </c>
      <c r="BU354">
        <v>1</v>
      </c>
      <c r="BV354">
        <v>1</v>
      </c>
      <c r="BW354">
        <v>1</v>
      </c>
      <c r="BX354">
        <v>1</v>
      </c>
      <c r="BY354" t="s">
        <v>3</v>
      </c>
      <c r="BZ354">
        <v>70</v>
      </c>
      <c r="CA354">
        <v>10</v>
      </c>
      <c r="CF354">
        <v>0</v>
      </c>
      <c r="CG354">
        <v>0</v>
      </c>
      <c r="CM354">
        <v>0</v>
      </c>
      <c r="CN354" t="s">
        <v>3</v>
      </c>
      <c r="CO354">
        <v>0</v>
      </c>
      <c r="CP354">
        <f t="shared" si="273"/>
        <v>1196.6499999999999</v>
      </c>
      <c r="CQ354">
        <f t="shared" si="274"/>
        <v>14084.7</v>
      </c>
      <c r="CR354">
        <f t="shared" si="290"/>
        <v>371.84</v>
      </c>
      <c r="CS354">
        <f t="shared" si="275"/>
        <v>284.52999999999997</v>
      </c>
      <c r="CT354">
        <f t="shared" si="276"/>
        <v>501.49</v>
      </c>
      <c r="CU354">
        <f t="shared" si="277"/>
        <v>0</v>
      </c>
      <c r="CV354">
        <f t="shared" si="278"/>
        <v>2.65</v>
      </c>
      <c r="CW354">
        <f t="shared" si="279"/>
        <v>0</v>
      </c>
      <c r="CX354">
        <f t="shared" si="280"/>
        <v>0</v>
      </c>
      <c r="CY354">
        <f t="shared" si="281"/>
        <v>28.083999999999996</v>
      </c>
      <c r="CZ354">
        <f t="shared" si="282"/>
        <v>4.0119999999999996</v>
      </c>
      <c r="DC354" t="s">
        <v>3</v>
      </c>
      <c r="DD354" t="s">
        <v>3</v>
      </c>
      <c r="DE354" t="s">
        <v>3</v>
      </c>
      <c r="DF354" t="s">
        <v>3</v>
      </c>
      <c r="DG354" t="s">
        <v>3</v>
      </c>
      <c r="DH354" t="s">
        <v>3</v>
      </c>
      <c r="DI354" t="s">
        <v>3</v>
      </c>
      <c r="DJ354" t="s">
        <v>3</v>
      </c>
      <c r="DK354" t="s">
        <v>3</v>
      </c>
      <c r="DL354" t="s">
        <v>3</v>
      </c>
      <c r="DM354" t="s">
        <v>3</v>
      </c>
      <c r="DN354">
        <v>0</v>
      </c>
      <c r="DO354">
        <v>0</v>
      </c>
      <c r="DP354">
        <v>1</v>
      </c>
      <c r="DQ354">
        <v>1</v>
      </c>
      <c r="DU354">
        <v>1005</v>
      </c>
      <c r="DV354" t="s">
        <v>52</v>
      </c>
      <c r="DW354" t="s">
        <v>52</v>
      </c>
      <c r="DX354">
        <v>100</v>
      </c>
      <c r="EE354">
        <v>34176748</v>
      </c>
      <c r="EF354">
        <v>1</v>
      </c>
      <c r="EG354" t="s">
        <v>19</v>
      </c>
      <c r="EH354">
        <v>0</v>
      </c>
      <c r="EI354" t="s">
        <v>3</v>
      </c>
      <c r="EJ354">
        <v>4</v>
      </c>
      <c r="EK354">
        <v>0</v>
      </c>
      <c r="EL354" t="s">
        <v>20</v>
      </c>
      <c r="EM354" t="s">
        <v>21</v>
      </c>
      <c r="EO354" t="s">
        <v>3</v>
      </c>
      <c r="EQ354">
        <v>0</v>
      </c>
      <c r="ER354">
        <v>14958.03</v>
      </c>
      <c r="ES354">
        <v>14084.7</v>
      </c>
      <c r="ET354">
        <v>371.84</v>
      </c>
      <c r="EU354">
        <v>284.52999999999997</v>
      </c>
      <c r="EV354">
        <v>501.49</v>
      </c>
      <c r="EW354">
        <v>2.65</v>
      </c>
      <c r="EX354">
        <v>0</v>
      </c>
      <c r="EY354">
        <v>0</v>
      </c>
      <c r="FQ354">
        <v>0</v>
      </c>
      <c r="FR354">
        <f t="shared" si="283"/>
        <v>0</v>
      </c>
      <c r="FS354">
        <v>0</v>
      </c>
      <c r="FX354">
        <v>70</v>
      </c>
      <c r="FY354">
        <v>10</v>
      </c>
      <c r="GA354" t="s">
        <v>3</v>
      </c>
      <c r="GD354">
        <v>0</v>
      </c>
      <c r="GF354">
        <v>-1169134821</v>
      </c>
      <c r="GG354">
        <v>2</v>
      </c>
      <c r="GH354">
        <v>1</v>
      </c>
      <c r="GI354">
        <v>-2</v>
      </c>
      <c r="GJ354">
        <v>0</v>
      </c>
      <c r="GK354">
        <f>ROUND(R354*(R12)/100,2)</f>
        <v>24.58</v>
      </c>
      <c r="GL354">
        <f t="shared" si="284"/>
        <v>0</v>
      </c>
      <c r="GM354">
        <f t="shared" si="291"/>
        <v>1253.32</v>
      </c>
      <c r="GN354">
        <f t="shared" si="292"/>
        <v>0</v>
      </c>
      <c r="GO354">
        <f t="shared" si="293"/>
        <v>0</v>
      </c>
      <c r="GP354">
        <f t="shared" si="294"/>
        <v>1253.32</v>
      </c>
      <c r="GR354">
        <v>0</v>
      </c>
      <c r="GS354">
        <v>3</v>
      </c>
      <c r="GT354">
        <v>0</v>
      </c>
      <c r="GU354" t="s">
        <v>3</v>
      </c>
      <c r="GV354">
        <f t="shared" si="285"/>
        <v>0</v>
      </c>
      <c r="GW354">
        <v>1</v>
      </c>
      <c r="GX354">
        <f t="shared" si="286"/>
        <v>0</v>
      </c>
      <c r="HA354">
        <v>0</v>
      </c>
      <c r="HB354">
        <v>0</v>
      </c>
      <c r="IK354">
        <v>0</v>
      </c>
    </row>
    <row r="355" spans="1:245" x14ac:dyDescent="0.2">
      <c r="A355">
        <v>17</v>
      </c>
      <c r="B355">
        <v>1</v>
      </c>
      <c r="C355">
        <f>ROW(SmtRes!A253)</f>
        <v>253</v>
      </c>
      <c r="D355">
        <f>ROW(EtalonRes!A253)</f>
        <v>253</v>
      </c>
      <c r="E355" t="s">
        <v>198</v>
      </c>
      <c r="F355" t="s">
        <v>199</v>
      </c>
      <c r="G355" t="s">
        <v>200</v>
      </c>
      <c r="H355" t="s">
        <v>52</v>
      </c>
      <c r="I355">
        <f>ROUND(8/100,9)</f>
        <v>0.08</v>
      </c>
      <c r="J355">
        <v>0</v>
      </c>
      <c r="O355">
        <f t="shared" si="259"/>
        <v>908.97</v>
      </c>
      <c r="P355">
        <f t="shared" si="260"/>
        <v>0</v>
      </c>
      <c r="Q355">
        <f t="shared" si="261"/>
        <v>0</v>
      </c>
      <c r="R355">
        <f t="shared" si="262"/>
        <v>0</v>
      </c>
      <c r="S355">
        <f t="shared" si="263"/>
        <v>908.97</v>
      </c>
      <c r="T355">
        <f t="shared" si="264"/>
        <v>0</v>
      </c>
      <c r="U355">
        <f t="shared" si="265"/>
        <v>6.8751999999999995</v>
      </c>
      <c r="V355">
        <f t="shared" si="266"/>
        <v>0</v>
      </c>
      <c r="W355">
        <f t="shared" si="267"/>
        <v>0</v>
      </c>
      <c r="X355">
        <f t="shared" si="268"/>
        <v>636.28</v>
      </c>
      <c r="Y355">
        <f t="shared" si="269"/>
        <v>90.9</v>
      </c>
      <c r="AA355">
        <v>37598633</v>
      </c>
      <c r="AB355">
        <f t="shared" si="270"/>
        <v>11362.13</v>
      </c>
      <c r="AC355">
        <f>ROUND((ES355),6)</f>
        <v>0</v>
      </c>
      <c r="AD355">
        <f t="shared" si="287"/>
        <v>0</v>
      </c>
      <c r="AE355">
        <f t="shared" si="288"/>
        <v>0</v>
      </c>
      <c r="AF355">
        <f t="shared" si="288"/>
        <v>11362.13</v>
      </c>
      <c r="AG355">
        <f t="shared" si="271"/>
        <v>0</v>
      </c>
      <c r="AH355">
        <f t="shared" si="289"/>
        <v>85.94</v>
      </c>
      <c r="AI355">
        <f t="shared" si="289"/>
        <v>0</v>
      </c>
      <c r="AJ355">
        <f t="shared" si="272"/>
        <v>0</v>
      </c>
      <c r="AK355">
        <v>11362.13</v>
      </c>
      <c r="AL355">
        <v>0</v>
      </c>
      <c r="AM355">
        <v>0</v>
      </c>
      <c r="AN355">
        <v>0</v>
      </c>
      <c r="AO355">
        <v>11362.13</v>
      </c>
      <c r="AP355">
        <v>0</v>
      </c>
      <c r="AQ355">
        <v>85.94</v>
      </c>
      <c r="AR355">
        <v>0</v>
      </c>
      <c r="AS355">
        <v>0</v>
      </c>
      <c r="AT355">
        <v>70</v>
      </c>
      <c r="AU355">
        <v>10</v>
      </c>
      <c r="AV355">
        <v>1</v>
      </c>
      <c r="AW355">
        <v>1</v>
      </c>
      <c r="AZ355">
        <v>1</v>
      </c>
      <c r="BA355">
        <v>1</v>
      </c>
      <c r="BB355">
        <v>1</v>
      </c>
      <c r="BC355">
        <v>1</v>
      </c>
      <c r="BD355" t="s">
        <v>3</v>
      </c>
      <c r="BE355" t="s">
        <v>3</v>
      </c>
      <c r="BF355" t="s">
        <v>3</v>
      </c>
      <c r="BG355" t="s">
        <v>3</v>
      </c>
      <c r="BH355">
        <v>0</v>
      </c>
      <c r="BI355">
        <v>4</v>
      </c>
      <c r="BJ355" t="s">
        <v>201</v>
      </c>
      <c r="BM355">
        <v>0</v>
      </c>
      <c r="BN355">
        <v>0</v>
      </c>
      <c r="BO355" t="s">
        <v>3</v>
      </c>
      <c r="BP355">
        <v>0</v>
      </c>
      <c r="BQ355">
        <v>1</v>
      </c>
      <c r="BR355">
        <v>0</v>
      </c>
      <c r="BS355">
        <v>1</v>
      </c>
      <c r="BT355">
        <v>1</v>
      </c>
      <c r="BU355">
        <v>1</v>
      </c>
      <c r="BV355">
        <v>1</v>
      </c>
      <c r="BW355">
        <v>1</v>
      </c>
      <c r="BX355">
        <v>1</v>
      </c>
      <c r="BY355" t="s">
        <v>3</v>
      </c>
      <c r="BZ355">
        <v>70</v>
      </c>
      <c r="CA355">
        <v>10</v>
      </c>
      <c r="CF355">
        <v>0</v>
      </c>
      <c r="CG355">
        <v>0</v>
      </c>
      <c r="CM355">
        <v>0</v>
      </c>
      <c r="CN355" t="s">
        <v>3</v>
      </c>
      <c r="CO355">
        <v>0</v>
      </c>
      <c r="CP355">
        <f t="shared" si="273"/>
        <v>908.97</v>
      </c>
      <c r="CQ355">
        <f t="shared" si="274"/>
        <v>0</v>
      </c>
      <c r="CR355">
        <f t="shared" si="290"/>
        <v>0</v>
      </c>
      <c r="CS355">
        <f t="shared" si="275"/>
        <v>0</v>
      </c>
      <c r="CT355">
        <f t="shared" si="276"/>
        <v>11362.13</v>
      </c>
      <c r="CU355">
        <f t="shared" si="277"/>
        <v>0</v>
      </c>
      <c r="CV355">
        <f t="shared" si="278"/>
        <v>85.94</v>
      </c>
      <c r="CW355">
        <f t="shared" si="279"/>
        <v>0</v>
      </c>
      <c r="CX355">
        <f t="shared" si="280"/>
        <v>0</v>
      </c>
      <c r="CY355">
        <f t="shared" si="281"/>
        <v>636.279</v>
      </c>
      <c r="CZ355">
        <f t="shared" si="282"/>
        <v>90.897000000000006</v>
      </c>
      <c r="DC355" t="s">
        <v>3</v>
      </c>
      <c r="DD355" t="s">
        <v>3</v>
      </c>
      <c r="DE355" t="s">
        <v>3</v>
      </c>
      <c r="DF355" t="s">
        <v>3</v>
      </c>
      <c r="DG355" t="s">
        <v>3</v>
      </c>
      <c r="DH355" t="s">
        <v>3</v>
      </c>
      <c r="DI355" t="s">
        <v>3</v>
      </c>
      <c r="DJ355" t="s">
        <v>3</v>
      </c>
      <c r="DK355" t="s">
        <v>3</v>
      </c>
      <c r="DL355" t="s">
        <v>3</v>
      </c>
      <c r="DM355" t="s">
        <v>3</v>
      </c>
      <c r="DN355">
        <v>0</v>
      </c>
      <c r="DO355">
        <v>0</v>
      </c>
      <c r="DP355">
        <v>1</v>
      </c>
      <c r="DQ355">
        <v>1</v>
      </c>
      <c r="DU355">
        <v>1005</v>
      </c>
      <c r="DV355" t="s">
        <v>52</v>
      </c>
      <c r="DW355" t="s">
        <v>52</v>
      </c>
      <c r="DX355">
        <v>100</v>
      </c>
      <c r="EE355">
        <v>34176748</v>
      </c>
      <c r="EF355">
        <v>1</v>
      </c>
      <c r="EG355" t="s">
        <v>19</v>
      </c>
      <c r="EH355">
        <v>0</v>
      </c>
      <c r="EI355" t="s">
        <v>3</v>
      </c>
      <c r="EJ355">
        <v>4</v>
      </c>
      <c r="EK355">
        <v>0</v>
      </c>
      <c r="EL355" t="s">
        <v>20</v>
      </c>
      <c r="EM355" t="s">
        <v>21</v>
      </c>
      <c r="EO355" t="s">
        <v>3</v>
      </c>
      <c r="EQ355">
        <v>0</v>
      </c>
      <c r="ER355">
        <v>11362.13</v>
      </c>
      <c r="ES355">
        <v>0</v>
      </c>
      <c r="ET355">
        <v>0</v>
      </c>
      <c r="EU355">
        <v>0</v>
      </c>
      <c r="EV355">
        <v>11362.13</v>
      </c>
      <c r="EW355">
        <v>85.94</v>
      </c>
      <c r="EX355">
        <v>0</v>
      </c>
      <c r="EY355">
        <v>0</v>
      </c>
      <c r="FQ355">
        <v>0</v>
      </c>
      <c r="FR355">
        <f t="shared" si="283"/>
        <v>0</v>
      </c>
      <c r="FS355">
        <v>0</v>
      </c>
      <c r="FX355">
        <v>70</v>
      </c>
      <c r="FY355">
        <v>10</v>
      </c>
      <c r="GA355" t="s">
        <v>3</v>
      </c>
      <c r="GD355">
        <v>0</v>
      </c>
      <c r="GF355">
        <v>1474902586</v>
      </c>
      <c r="GG355">
        <v>2</v>
      </c>
      <c r="GH355">
        <v>1</v>
      </c>
      <c r="GI355">
        <v>-2</v>
      </c>
      <c r="GJ355">
        <v>0</v>
      </c>
      <c r="GK355">
        <f>ROUND(R355*(R12)/100,2)</f>
        <v>0</v>
      </c>
      <c r="GL355">
        <f t="shared" si="284"/>
        <v>0</v>
      </c>
      <c r="GM355">
        <f t="shared" si="291"/>
        <v>1636.15</v>
      </c>
      <c r="GN355">
        <f t="shared" si="292"/>
        <v>0</v>
      </c>
      <c r="GO355">
        <f t="shared" si="293"/>
        <v>0</v>
      </c>
      <c r="GP355">
        <f t="shared" si="294"/>
        <v>1636.15</v>
      </c>
      <c r="GR355">
        <v>0</v>
      </c>
      <c r="GS355">
        <v>3</v>
      </c>
      <c r="GT355">
        <v>0</v>
      </c>
      <c r="GU355" t="s">
        <v>3</v>
      </c>
      <c r="GV355">
        <f t="shared" si="285"/>
        <v>0</v>
      </c>
      <c r="GW355">
        <v>1</v>
      </c>
      <c r="GX355">
        <f t="shared" si="286"/>
        <v>0</v>
      </c>
      <c r="HA355">
        <v>0</v>
      </c>
      <c r="HB355">
        <v>0</v>
      </c>
      <c r="IK355">
        <v>0</v>
      </c>
    </row>
    <row r="356" spans="1:245" x14ac:dyDescent="0.2">
      <c r="A356">
        <v>17</v>
      </c>
      <c r="B356">
        <v>1</v>
      </c>
      <c r="C356">
        <f>ROW(SmtRes!A261)</f>
        <v>261</v>
      </c>
      <c r="D356">
        <f>ROW(EtalonRes!A261)</f>
        <v>261</v>
      </c>
      <c r="E356" t="s">
        <v>202</v>
      </c>
      <c r="F356" t="s">
        <v>42</v>
      </c>
      <c r="G356" t="s">
        <v>43</v>
      </c>
      <c r="H356" t="s">
        <v>17</v>
      </c>
      <c r="I356">
        <f>ROUND(8*0.4/100,9)</f>
        <v>3.2000000000000001E-2</v>
      </c>
      <c r="J356">
        <v>0</v>
      </c>
      <c r="O356">
        <f t="shared" si="259"/>
        <v>2284.4899999999998</v>
      </c>
      <c r="P356">
        <f t="shared" si="260"/>
        <v>1973.09</v>
      </c>
      <c r="Q356">
        <f t="shared" si="261"/>
        <v>229.55</v>
      </c>
      <c r="R356">
        <f t="shared" si="262"/>
        <v>85.43</v>
      </c>
      <c r="S356">
        <f t="shared" si="263"/>
        <v>81.849999999999994</v>
      </c>
      <c r="T356">
        <f t="shared" si="264"/>
        <v>0</v>
      </c>
      <c r="U356">
        <f t="shared" si="265"/>
        <v>0.52991999999999995</v>
      </c>
      <c r="V356">
        <f t="shared" si="266"/>
        <v>0</v>
      </c>
      <c r="W356">
        <f t="shared" si="267"/>
        <v>0</v>
      </c>
      <c r="X356">
        <f t="shared" si="268"/>
        <v>57.3</v>
      </c>
      <c r="Y356">
        <f t="shared" si="269"/>
        <v>8.19</v>
      </c>
      <c r="AA356">
        <v>37598633</v>
      </c>
      <c r="AB356">
        <f t="shared" si="270"/>
        <v>71390.39</v>
      </c>
      <c r="AC356">
        <f>ROUND((ES356),6)</f>
        <v>61659.15</v>
      </c>
      <c r="AD356">
        <f t="shared" si="287"/>
        <v>7173.55</v>
      </c>
      <c r="AE356">
        <f t="shared" si="288"/>
        <v>2669.64</v>
      </c>
      <c r="AF356">
        <f t="shared" si="288"/>
        <v>2557.69</v>
      </c>
      <c r="AG356">
        <f t="shared" si="271"/>
        <v>0</v>
      </c>
      <c r="AH356">
        <f t="shared" si="289"/>
        <v>16.559999999999999</v>
      </c>
      <c r="AI356">
        <f t="shared" si="289"/>
        <v>0</v>
      </c>
      <c r="AJ356">
        <f t="shared" si="272"/>
        <v>0</v>
      </c>
      <c r="AK356">
        <v>71390.39</v>
      </c>
      <c r="AL356">
        <v>61659.15</v>
      </c>
      <c r="AM356">
        <v>7173.55</v>
      </c>
      <c r="AN356">
        <v>2669.64</v>
      </c>
      <c r="AO356">
        <v>2557.69</v>
      </c>
      <c r="AP356">
        <v>0</v>
      </c>
      <c r="AQ356">
        <v>16.559999999999999</v>
      </c>
      <c r="AR356">
        <v>0</v>
      </c>
      <c r="AS356">
        <v>0</v>
      </c>
      <c r="AT356">
        <v>70</v>
      </c>
      <c r="AU356">
        <v>10</v>
      </c>
      <c r="AV356">
        <v>1</v>
      </c>
      <c r="AW356">
        <v>1</v>
      </c>
      <c r="AZ356">
        <v>1</v>
      </c>
      <c r="BA356">
        <v>1</v>
      </c>
      <c r="BB356">
        <v>1</v>
      </c>
      <c r="BC356">
        <v>1</v>
      </c>
      <c r="BD356" t="s">
        <v>3</v>
      </c>
      <c r="BE356" t="s">
        <v>3</v>
      </c>
      <c r="BF356" t="s">
        <v>3</v>
      </c>
      <c r="BG356" t="s">
        <v>3</v>
      </c>
      <c r="BH356">
        <v>0</v>
      </c>
      <c r="BI356">
        <v>4</v>
      </c>
      <c r="BJ356" t="s">
        <v>44</v>
      </c>
      <c r="BM356">
        <v>0</v>
      </c>
      <c r="BN356">
        <v>0</v>
      </c>
      <c r="BO356" t="s">
        <v>3</v>
      </c>
      <c r="BP356">
        <v>0</v>
      </c>
      <c r="BQ356">
        <v>1</v>
      </c>
      <c r="BR356">
        <v>0</v>
      </c>
      <c r="BS356">
        <v>1</v>
      </c>
      <c r="BT356">
        <v>1</v>
      </c>
      <c r="BU356">
        <v>1</v>
      </c>
      <c r="BV356">
        <v>1</v>
      </c>
      <c r="BW356">
        <v>1</v>
      </c>
      <c r="BX356">
        <v>1</v>
      </c>
      <c r="BY356" t="s">
        <v>3</v>
      </c>
      <c r="BZ356">
        <v>70</v>
      </c>
      <c r="CA356">
        <v>10</v>
      </c>
      <c r="CF356">
        <v>0</v>
      </c>
      <c r="CG356">
        <v>0</v>
      </c>
      <c r="CM356">
        <v>0</v>
      </c>
      <c r="CN356" t="s">
        <v>3</v>
      </c>
      <c r="CO356">
        <v>0</v>
      </c>
      <c r="CP356">
        <f t="shared" si="273"/>
        <v>2284.4899999999998</v>
      </c>
      <c r="CQ356">
        <f t="shared" si="274"/>
        <v>61659.15</v>
      </c>
      <c r="CR356">
        <f t="shared" si="290"/>
        <v>7173.5499999999993</v>
      </c>
      <c r="CS356">
        <f t="shared" si="275"/>
        <v>2669.64</v>
      </c>
      <c r="CT356">
        <f t="shared" si="276"/>
        <v>2557.69</v>
      </c>
      <c r="CU356">
        <f t="shared" si="277"/>
        <v>0</v>
      </c>
      <c r="CV356">
        <f t="shared" si="278"/>
        <v>16.559999999999999</v>
      </c>
      <c r="CW356">
        <f t="shared" si="279"/>
        <v>0</v>
      </c>
      <c r="CX356">
        <f t="shared" si="280"/>
        <v>0</v>
      </c>
      <c r="CY356">
        <f t="shared" si="281"/>
        <v>57.295000000000002</v>
      </c>
      <c r="CZ356">
        <f t="shared" si="282"/>
        <v>8.1850000000000005</v>
      </c>
      <c r="DC356" t="s">
        <v>3</v>
      </c>
      <c r="DD356" t="s">
        <v>3</v>
      </c>
      <c r="DE356" t="s">
        <v>3</v>
      </c>
      <c r="DF356" t="s">
        <v>3</v>
      </c>
      <c r="DG356" t="s">
        <v>3</v>
      </c>
      <c r="DH356" t="s">
        <v>3</v>
      </c>
      <c r="DI356" t="s">
        <v>3</v>
      </c>
      <c r="DJ356" t="s">
        <v>3</v>
      </c>
      <c r="DK356" t="s">
        <v>3</v>
      </c>
      <c r="DL356" t="s">
        <v>3</v>
      </c>
      <c r="DM356" t="s">
        <v>3</v>
      </c>
      <c r="DN356">
        <v>0</v>
      </c>
      <c r="DO356">
        <v>0</v>
      </c>
      <c r="DP356">
        <v>1</v>
      </c>
      <c r="DQ356">
        <v>1</v>
      </c>
      <c r="DU356">
        <v>1007</v>
      </c>
      <c r="DV356" t="s">
        <v>17</v>
      </c>
      <c r="DW356" t="s">
        <v>17</v>
      </c>
      <c r="DX356">
        <v>100</v>
      </c>
      <c r="EE356">
        <v>34176748</v>
      </c>
      <c r="EF356">
        <v>1</v>
      </c>
      <c r="EG356" t="s">
        <v>19</v>
      </c>
      <c r="EH356">
        <v>0</v>
      </c>
      <c r="EI356" t="s">
        <v>3</v>
      </c>
      <c r="EJ356">
        <v>4</v>
      </c>
      <c r="EK356">
        <v>0</v>
      </c>
      <c r="EL356" t="s">
        <v>20</v>
      </c>
      <c r="EM356" t="s">
        <v>21</v>
      </c>
      <c r="EO356" t="s">
        <v>3</v>
      </c>
      <c r="EQ356">
        <v>0</v>
      </c>
      <c r="ER356">
        <v>71390.39</v>
      </c>
      <c r="ES356">
        <v>61659.15</v>
      </c>
      <c r="ET356">
        <v>7173.55</v>
      </c>
      <c r="EU356">
        <v>2669.64</v>
      </c>
      <c r="EV356">
        <v>2557.69</v>
      </c>
      <c r="EW356">
        <v>16.559999999999999</v>
      </c>
      <c r="EX356">
        <v>0</v>
      </c>
      <c r="EY356">
        <v>0</v>
      </c>
      <c r="FQ356">
        <v>0</v>
      </c>
      <c r="FR356">
        <f t="shared" si="283"/>
        <v>0</v>
      </c>
      <c r="FS356">
        <v>0</v>
      </c>
      <c r="FX356">
        <v>70</v>
      </c>
      <c r="FY356">
        <v>10</v>
      </c>
      <c r="GA356" t="s">
        <v>3</v>
      </c>
      <c r="GD356">
        <v>0</v>
      </c>
      <c r="GF356">
        <v>-1632936602</v>
      </c>
      <c r="GG356">
        <v>2</v>
      </c>
      <c r="GH356">
        <v>1</v>
      </c>
      <c r="GI356">
        <v>-2</v>
      </c>
      <c r="GJ356">
        <v>0</v>
      </c>
      <c r="GK356">
        <f>ROUND(R356*(R12)/100,2)</f>
        <v>92.26</v>
      </c>
      <c r="GL356">
        <f t="shared" si="284"/>
        <v>0</v>
      </c>
      <c r="GM356">
        <f t="shared" si="291"/>
        <v>2442.2399999999998</v>
      </c>
      <c r="GN356">
        <f t="shared" si="292"/>
        <v>0</v>
      </c>
      <c r="GO356">
        <f t="shared" si="293"/>
        <v>0</v>
      </c>
      <c r="GP356">
        <f t="shared" si="294"/>
        <v>2442.2399999999998</v>
      </c>
      <c r="GR356">
        <v>0</v>
      </c>
      <c r="GS356">
        <v>3</v>
      </c>
      <c r="GT356">
        <v>0</v>
      </c>
      <c r="GU356" t="s">
        <v>3</v>
      </c>
      <c r="GV356">
        <f t="shared" si="285"/>
        <v>0</v>
      </c>
      <c r="GW356">
        <v>1</v>
      </c>
      <c r="GX356">
        <f t="shared" si="286"/>
        <v>0</v>
      </c>
      <c r="HA356">
        <v>0</v>
      </c>
      <c r="HB356">
        <v>0</v>
      </c>
      <c r="IK356">
        <v>0</v>
      </c>
    </row>
    <row r="358" spans="1:245" x14ac:dyDescent="0.2">
      <c r="A358" s="2">
        <v>51</v>
      </c>
      <c r="B358" s="2">
        <f>B343</f>
        <v>1</v>
      </c>
      <c r="C358" s="2">
        <f>A343</f>
        <v>4</v>
      </c>
      <c r="D358" s="2">
        <f>ROW(A343)</f>
        <v>343</v>
      </c>
      <c r="E358" s="2"/>
      <c r="F358" s="2" t="str">
        <f>IF(F343&lt;&gt;"",F343,"")</f>
        <v>Новый раздел</v>
      </c>
      <c r="G358" s="2" t="str">
        <f>IF(G343&lt;&gt;"",G343,"")</f>
        <v>Устройство прыжковой ямы и полиуретановой дорожки</v>
      </c>
      <c r="H358" s="2">
        <v>0</v>
      </c>
      <c r="I358" s="2"/>
      <c r="J358" s="2"/>
      <c r="K358" s="2"/>
      <c r="L358" s="2"/>
      <c r="M358" s="2"/>
      <c r="N358" s="2"/>
      <c r="O358" s="2">
        <f t="shared" ref="O358:T358" si="295">ROUND(AB358,2)</f>
        <v>17992.939999999999</v>
      </c>
      <c r="P358" s="2">
        <f t="shared" si="295"/>
        <v>13844.69</v>
      </c>
      <c r="Q358" s="2">
        <f t="shared" si="295"/>
        <v>2584.2399999999998</v>
      </c>
      <c r="R358" s="2">
        <f t="shared" si="295"/>
        <v>1623.03</v>
      </c>
      <c r="S358" s="2">
        <f t="shared" si="295"/>
        <v>1564.01</v>
      </c>
      <c r="T358" s="2">
        <f t="shared" si="295"/>
        <v>0</v>
      </c>
      <c r="U358" s="2">
        <f>AH358</f>
        <v>10.53936</v>
      </c>
      <c r="V358" s="2">
        <f>AI358</f>
        <v>0</v>
      </c>
      <c r="W358" s="2">
        <f>ROUND(AJ358,2)</f>
        <v>0</v>
      </c>
      <c r="X358" s="2">
        <f>ROUND(AK358,2)</f>
        <v>1094.81</v>
      </c>
      <c r="Y358" s="2">
        <f>ROUND(AL358,2)</f>
        <v>156.41</v>
      </c>
      <c r="Z358" s="2"/>
      <c r="AA358" s="2"/>
      <c r="AB358" s="2">
        <f>ROUND(SUMIF(AA347:AA356,"=37598633",O347:O356),2)</f>
        <v>17992.939999999999</v>
      </c>
      <c r="AC358" s="2">
        <f>ROUND(SUMIF(AA347:AA356,"=37598633",P347:P356),2)</f>
        <v>13844.69</v>
      </c>
      <c r="AD358" s="2">
        <f>ROUND(SUMIF(AA347:AA356,"=37598633",Q347:Q356),2)</f>
        <v>2584.2399999999998</v>
      </c>
      <c r="AE358" s="2">
        <f>ROUND(SUMIF(AA347:AA356,"=37598633",R347:R356),2)</f>
        <v>1623.03</v>
      </c>
      <c r="AF358" s="2">
        <f>ROUND(SUMIF(AA347:AA356,"=37598633",S347:S356),2)</f>
        <v>1564.01</v>
      </c>
      <c r="AG358" s="2">
        <f>ROUND(SUMIF(AA347:AA356,"=37598633",T347:T356),2)</f>
        <v>0</v>
      </c>
      <c r="AH358" s="2">
        <f>SUMIF(AA347:AA356,"=37598633",U347:U356)</f>
        <v>10.53936</v>
      </c>
      <c r="AI358" s="2">
        <f>SUMIF(AA347:AA356,"=37598633",V347:V356)</f>
        <v>0</v>
      </c>
      <c r="AJ358" s="2">
        <f>ROUND(SUMIF(AA347:AA356,"=37598633",W347:W356),2)</f>
        <v>0</v>
      </c>
      <c r="AK358" s="2">
        <f>ROUND(SUMIF(AA347:AA356,"=37598633",X347:X356),2)</f>
        <v>1094.81</v>
      </c>
      <c r="AL358" s="2">
        <f>ROUND(SUMIF(AA347:AA356,"=37598633",Y347:Y356),2)</f>
        <v>156.41</v>
      </c>
      <c r="AM358" s="2"/>
      <c r="AN358" s="2"/>
      <c r="AO358" s="2">
        <f t="shared" ref="AO358:BC358" si="296">ROUND(BX358,2)</f>
        <v>0</v>
      </c>
      <c r="AP358" s="2">
        <f t="shared" si="296"/>
        <v>0</v>
      </c>
      <c r="AQ358" s="2">
        <f t="shared" si="296"/>
        <v>0</v>
      </c>
      <c r="AR358" s="2">
        <f t="shared" si="296"/>
        <v>19776.02</v>
      </c>
      <c r="AS358" s="2">
        <f t="shared" si="296"/>
        <v>0</v>
      </c>
      <c r="AT358" s="2">
        <f t="shared" si="296"/>
        <v>0</v>
      </c>
      <c r="AU358" s="2">
        <f t="shared" si="296"/>
        <v>19776.02</v>
      </c>
      <c r="AV358" s="2">
        <f t="shared" si="296"/>
        <v>13844.69</v>
      </c>
      <c r="AW358" s="2">
        <f t="shared" si="296"/>
        <v>13844.69</v>
      </c>
      <c r="AX358" s="2">
        <f t="shared" si="296"/>
        <v>0</v>
      </c>
      <c r="AY358" s="2">
        <f t="shared" si="296"/>
        <v>13844.69</v>
      </c>
      <c r="AZ358" s="2">
        <f t="shared" si="296"/>
        <v>0</v>
      </c>
      <c r="BA358" s="2">
        <f t="shared" si="296"/>
        <v>0</v>
      </c>
      <c r="BB358" s="2">
        <f t="shared" si="296"/>
        <v>0</v>
      </c>
      <c r="BC358" s="2">
        <f t="shared" si="296"/>
        <v>0</v>
      </c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>
        <f>ROUND(SUMIF(AA347:AA356,"=37598633",FQ347:FQ356),2)</f>
        <v>0</v>
      </c>
      <c r="BY358" s="2">
        <f>ROUND(SUMIF(AA347:AA356,"=37598633",FR347:FR356),2)</f>
        <v>0</v>
      </c>
      <c r="BZ358" s="2">
        <f>ROUND(SUMIF(AA347:AA356,"=37598633",GL347:GL356),2)</f>
        <v>0</v>
      </c>
      <c r="CA358" s="2">
        <f>ROUND(SUMIF(AA347:AA356,"=37598633",GM347:GM356),2)</f>
        <v>19776.02</v>
      </c>
      <c r="CB358" s="2">
        <f>ROUND(SUMIF(AA347:AA356,"=37598633",GN347:GN356),2)</f>
        <v>0</v>
      </c>
      <c r="CC358" s="2">
        <f>ROUND(SUMIF(AA347:AA356,"=37598633",GO347:GO356),2)</f>
        <v>0</v>
      </c>
      <c r="CD358" s="2">
        <f>ROUND(SUMIF(AA347:AA356,"=37598633",GP347:GP356),2)</f>
        <v>19776.02</v>
      </c>
      <c r="CE358" s="2">
        <f>AC358-BX358</f>
        <v>13844.69</v>
      </c>
      <c r="CF358" s="2">
        <f>AC358-BY358</f>
        <v>13844.69</v>
      </c>
      <c r="CG358" s="2">
        <f>BX358-BZ358</f>
        <v>0</v>
      </c>
      <c r="CH358" s="2">
        <f>AC358-BX358-BY358+BZ358</f>
        <v>13844.69</v>
      </c>
      <c r="CI358" s="2">
        <f>BY358-BZ358</f>
        <v>0</v>
      </c>
      <c r="CJ358" s="2">
        <f>ROUND(SUMIF(AA347:AA356,"=37598633",GX347:GX356),2)</f>
        <v>0</v>
      </c>
      <c r="CK358" s="2">
        <f>ROUND(SUMIF(AA347:AA356,"=37598633",GY347:GY356),2)</f>
        <v>0</v>
      </c>
      <c r="CL358" s="2">
        <f>ROUND(SUMIF(AA347:AA356,"=37598633",GZ347:GZ356),2)</f>
        <v>0</v>
      </c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>
        <v>0</v>
      </c>
    </row>
    <row r="360" spans="1:245" x14ac:dyDescent="0.2">
      <c r="A360" s="4">
        <v>50</v>
      </c>
      <c r="B360" s="4">
        <v>0</v>
      </c>
      <c r="C360" s="4">
        <v>0</v>
      </c>
      <c r="D360" s="4">
        <v>1</v>
      </c>
      <c r="E360" s="4">
        <v>201</v>
      </c>
      <c r="F360" s="4">
        <f>ROUND(Source!O358,O360)</f>
        <v>17992.939999999999</v>
      </c>
      <c r="G360" s="4" t="s">
        <v>55</v>
      </c>
      <c r="H360" s="4" t="s">
        <v>56</v>
      </c>
      <c r="I360" s="4"/>
      <c r="J360" s="4"/>
      <c r="K360" s="4">
        <v>-201</v>
      </c>
      <c r="L360" s="4">
        <v>1</v>
      </c>
      <c r="M360" s="4">
        <v>3</v>
      </c>
      <c r="N360" s="4" t="s">
        <v>3</v>
      </c>
      <c r="O360" s="4">
        <v>2</v>
      </c>
      <c r="P360" s="4"/>
      <c r="Q360" s="4"/>
      <c r="R360" s="4"/>
      <c r="S360" s="4"/>
      <c r="T360" s="4"/>
      <c r="U360" s="4"/>
      <c r="V360" s="4"/>
      <c r="W360" s="4"/>
    </row>
    <row r="361" spans="1:245" x14ac:dyDescent="0.2">
      <c r="A361" s="4">
        <v>50</v>
      </c>
      <c r="B361" s="4">
        <v>0</v>
      </c>
      <c r="C361" s="4">
        <v>0</v>
      </c>
      <c r="D361" s="4">
        <v>1</v>
      </c>
      <c r="E361" s="4">
        <v>202</v>
      </c>
      <c r="F361" s="4">
        <f>ROUND(Source!P358,O361)</f>
        <v>13844.69</v>
      </c>
      <c r="G361" s="4" t="s">
        <v>57</v>
      </c>
      <c r="H361" s="4" t="s">
        <v>58</v>
      </c>
      <c r="I361" s="4"/>
      <c r="J361" s="4"/>
      <c r="K361" s="4">
        <v>-202</v>
      </c>
      <c r="L361" s="4">
        <v>2</v>
      </c>
      <c r="M361" s="4">
        <v>3</v>
      </c>
      <c r="N361" s="4" t="s">
        <v>3</v>
      </c>
      <c r="O361" s="4">
        <v>2</v>
      </c>
      <c r="P361" s="4"/>
      <c r="Q361" s="4"/>
      <c r="R361" s="4"/>
      <c r="S361" s="4"/>
      <c r="T361" s="4"/>
      <c r="U361" s="4"/>
      <c r="V361" s="4"/>
      <c r="W361" s="4"/>
    </row>
    <row r="362" spans="1:245" x14ac:dyDescent="0.2">
      <c r="A362" s="4">
        <v>50</v>
      </c>
      <c r="B362" s="4">
        <v>0</v>
      </c>
      <c r="C362" s="4">
        <v>0</v>
      </c>
      <c r="D362" s="4">
        <v>1</v>
      </c>
      <c r="E362" s="4">
        <v>222</v>
      </c>
      <c r="F362" s="4">
        <f>ROUND(Source!AO358,O362)</f>
        <v>0</v>
      </c>
      <c r="G362" s="4" t="s">
        <v>59</v>
      </c>
      <c r="H362" s="4" t="s">
        <v>60</v>
      </c>
      <c r="I362" s="4"/>
      <c r="J362" s="4"/>
      <c r="K362" s="4">
        <v>-222</v>
      </c>
      <c r="L362" s="4">
        <v>3</v>
      </c>
      <c r="M362" s="4">
        <v>3</v>
      </c>
      <c r="N362" s="4" t="s">
        <v>3</v>
      </c>
      <c r="O362" s="4">
        <v>2</v>
      </c>
      <c r="P362" s="4"/>
      <c r="Q362" s="4"/>
      <c r="R362" s="4"/>
      <c r="S362" s="4"/>
      <c r="T362" s="4"/>
      <c r="U362" s="4"/>
      <c r="V362" s="4"/>
      <c r="W362" s="4"/>
    </row>
    <row r="363" spans="1:245" x14ac:dyDescent="0.2">
      <c r="A363" s="4">
        <v>50</v>
      </c>
      <c r="B363" s="4">
        <v>0</v>
      </c>
      <c r="C363" s="4">
        <v>0</v>
      </c>
      <c r="D363" s="4">
        <v>1</v>
      </c>
      <c r="E363" s="4">
        <v>225</v>
      </c>
      <c r="F363" s="4">
        <f>ROUND(Source!AV358,O363)</f>
        <v>13844.69</v>
      </c>
      <c r="G363" s="4" t="s">
        <v>61</v>
      </c>
      <c r="H363" s="4" t="s">
        <v>62</v>
      </c>
      <c r="I363" s="4"/>
      <c r="J363" s="4"/>
      <c r="K363" s="4">
        <v>-225</v>
      </c>
      <c r="L363" s="4">
        <v>4</v>
      </c>
      <c r="M363" s="4">
        <v>3</v>
      </c>
      <c r="N363" s="4" t="s">
        <v>3</v>
      </c>
      <c r="O363" s="4">
        <v>2</v>
      </c>
      <c r="P363" s="4"/>
      <c r="Q363" s="4"/>
      <c r="R363" s="4"/>
      <c r="S363" s="4"/>
      <c r="T363" s="4"/>
      <c r="U363" s="4"/>
      <c r="V363" s="4"/>
      <c r="W363" s="4"/>
    </row>
    <row r="364" spans="1:245" x14ac:dyDescent="0.2">
      <c r="A364" s="4">
        <v>50</v>
      </c>
      <c r="B364" s="4">
        <v>0</v>
      </c>
      <c r="C364" s="4">
        <v>0</v>
      </c>
      <c r="D364" s="4">
        <v>1</v>
      </c>
      <c r="E364" s="4">
        <v>226</v>
      </c>
      <c r="F364" s="4">
        <f>ROUND(Source!AW358,O364)</f>
        <v>13844.69</v>
      </c>
      <c r="G364" s="4" t="s">
        <v>63</v>
      </c>
      <c r="H364" s="4" t="s">
        <v>64</v>
      </c>
      <c r="I364" s="4"/>
      <c r="J364" s="4"/>
      <c r="K364" s="4">
        <v>-226</v>
      </c>
      <c r="L364" s="4">
        <v>5</v>
      </c>
      <c r="M364" s="4">
        <v>3</v>
      </c>
      <c r="N364" s="4" t="s">
        <v>3</v>
      </c>
      <c r="O364" s="4">
        <v>2</v>
      </c>
      <c r="P364" s="4"/>
      <c r="Q364" s="4"/>
      <c r="R364" s="4"/>
      <c r="S364" s="4"/>
      <c r="T364" s="4"/>
      <c r="U364" s="4"/>
      <c r="V364" s="4"/>
      <c r="W364" s="4"/>
    </row>
    <row r="365" spans="1:245" x14ac:dyDescent="0.2">
      <c r="A365" s="4">
        <v>50</v>
      </c>
      <c r="B365" s="4">
        <v>0</v>
      </c>
      <c r="C365" s="4">
        <v>0</v>
      </c>
      <c r="D365" s="4">
        <v>1</v>
      </c>
      <c r="E365" s="4">
        <v>227</v>
      </c>
      <c r="F365" s="4">
        <f>ROUND(Source!AX358,O365)</f>
        <v>0</v>
      </c>
      <c r="G365" s="4" t="s">
        <v>65</v>
      </c>
      <c r="H365" s="4" t="s">
        <v>66</v>
      </c>
      <c r="I365" s="4"/>
      <c r="J365" s="4"/>
      <c r="K365" s="4">
        <v>-227</v>
      </c>
      <c r="L365" s="4">
        <v>6</v>
      </c>
      <c r="M365" s="4">
        <v>3</v>
      </c>
      <c r="N365" s="4" t="s">
        <v>3</v>
      </c>
      <c r="O365" s="4">
        <v>2</v>
      </c>
      <c r="P365" s="4"/>
      <c r="Q365" s="4"/>
      <c r="R365" s="4"/>
      <c r="S365" s="4"/>
      <c r="T365" s="4"/>
      <c r="U365" s="4"/>
      <c r="V365" s="4"/>
      <c r="W365" s="4"/>
    </row>
    <row r="366" spans="1:245" x14ac:dyDescent="0.2">
      <c r="A366" s="4">
        <v>50</v>
      </c>
      <c r="B366" s="4">
        <v>0</v>
      </c>
      <c r="C366" s="4">
        <v>0</v>
      </c>
      <c r="D366" s="4">
        <v>1</v>
      </c>
      <c r="E366" s="4">
        <v>228</v>
      </c>
      <c r="F366" s="4">
        <f>ROUND(Source!AY358,O366)</f>
        <v>13844.69</v>
      </c>
      <c r="G366" s="4" t="s">
        <v>67</v>
      </c>
      <c r="H366" s="4" t="s">
        <v>68</v>
      </c>
      <c r="I366" s="4"/>
      <c r="J366" s="4"/>
      <c r="K366" s="4">
        <v>-228</v>
      </c>
      <c r="L366" s="4">
        <v>7</v>
      </c>
      <c r="M366" s="4">
        <v>3</v>
      </c>
      <c r="N366" s="4" t="s">
        <v>3</v>
      </c>
      <c r="O366" s="4">
        <v>2</v>
      </c>
      <c r="P366" s="4"/>
      <c r="Q366" s="4"/>
      <c r="R366" s="4"/>
      <c r="S366" s="4"/>
      <c r="T366" s="4"/>
      <c r="U366" s="4"/>
      <c r="V366" s="4"/>
      <c r="W366" s="4"/>
    </row>
    <row r="367" spans="1:245" x14ac:dyDescent="0.2">
      <c r="A367" s="4">
        <v>50</v>
      </c>
      <c r="B367" s="4">
        <v>0</v>
      </c>
      <c r="C367" s="4">
        <v>0</v>
      </c>
      <c r="D367" s="4">
        <v>1</v>
      </c>
      <c r="E367" s="4">
        <v>216</v>
      </c>
      <c r="F367" s="4">
        <f>ROUND(Source!AP358,O367)</f>
        <v>0</v>
      </c>
      <c r="G367" s="4" t="s">
        <v>69</v>
      </c>
      <c r="H367" s="4" t="s">
        <v>70</v>
      </c>
      <c r="I367" s="4"/>
      <c r="J367" s="4"/>
      <c r="K367" s="4">
        <v>-216</v>
      </c>
      <c r="L367" s="4">
        <v>8</v>
      </c>
      <c r="M367" s="4">
        <v>3</v>
      </c>
      <c r="N367" s="4" t="s">
        <v>3</v>
      </c>
      <c r="O367" s="4">
        <v>2</v>
      </c>
      <c r="P367" s="4"/>
      <c r="Q367" s="4"/>
      <c r="R367" s="4"/>
      <c r="S367" s="4"/>
      <c r="T367" s="4"/>
      <c r="U367" s="4"/>
      <c r="V367" s="4"/>
      <c r="W367" s="4"/>
    </row>
    <row r="368" spans="1:245" x14ac:dyDescent="0.2">
      <c r="A368" s="4">
        <v>50</v>
      </c>
      <c r="B368" s="4">
        <v>0</v>
      </c>
      <c r="C368" s="4">
        <v>0</v>
      </c>
      <c r="D368" s="4">
        <v>1</v>
      </c>
      <c r="E368" s="4">
        <v>223</v>
      </c>
      <c r="F368" s="4">
        <f>ROUND(Source!AQ358,O368)</f>
        <v>0</v>
      </c>
      <c r="G368" s="4" t="s">
        <v>71</v>
      </c>
      <c r="H368" s="4" t="s">
        <v>72</v>
      </c>
      <c r="I368" s="4"/>
      <c r="J368" s="4"/>
      <c r="K368" s="4">
        <v>-223</v>
      </c>
      <c r="L368" s="4">
        <v>9</v>
      </c>
      <c r="M368" s="4">
        <v>3</v>
      </c>
      <c r="N368" s="4" t="s">
        <v>3</v>
      </c>
      <c r="O368" s="4">
        <v>2</v>
      </c>
      <c r="P368" s="4"/>
      <c r="Q368" s="4"/>
      <c r="R368" s="4"/>
      <c r="S368" s="4"/>
      <c r="T368" s="4"/>
      <c r="U368" s="4"/>
      <c r="V368" s="4"/>
      <c r="W368" s="4"/>
    </row>
    <row r="369" spans="1:23" x14ac:dyDescent="0.2">
      <c r="A369" s="4">
        <v>50</v>
      </c>
      <c r="B369" s="4">
        <v>0</v>
      </c>
      <c r="C369" s="4">
        <v>0</v>
      </c>
      <c r="D369" s="4">
        <v>1</v>
      </c>
      <c r="E369" s="4">
        <v>229</v>
      </c>
      <c r="F369" s="4">
        <f>ROUND(Source!AZ358,O369)</f>
        <v>0</v>
      </c>
      <c r="G369" s="4" t="s">
        <v>73</v>
      </c>
      <c r="H369" s="4" t="s">
        <v>74</v>
      </c>
      <c r="I369" s="4"/>
      <c r="J369" s="4"/>
      <c r="K369" s="4">
        <v>-229</v>
      </c>
      <c r="L369" s="4">
        <v>10</v>
      </c>
      <c r="M369" s="4">
        <v>3</v>
      </c>
      <c r="N369" s="4" t="s">
        <v>3</v>
      </c>
      <c r="O369" s="4">
        <v>2</v>
      </c>
      <c r="P369" s="4"/>
      <c r="Q369" s="4"/>
      <c r="R369" s="4"/>
      <c r="S369" s="4"/>
      <c r="T369" s="4"/>
      <c r="U369" s="4"/>
      <c r="V369" s="4"/>
      <c r="W369" s="4"/>
    </row>
    <row r="370" spans="1:23" x14ac:dyDescent="0.2">
      <c r="A370" s="4">
        <v>50</v>
      </c>
      <c r="B370" s="4">
        <v>0</v>
      </c>
      <c r="C370" s="4">
        <v>0</v>
      </c>
      <c r="D370" s="4">
        <v>1</v>
      </c>
      <c r="E370" s="4">
        <v>203</v>
      </c>
      <c r="F370" s="4">
        <f>ROUND(Source!Q358,O370)</f>
        <v>2584.2399999999998</v>
      </c>
      <c r="G370" s="4" t="s">
        <v>75</v>
      </c>
      <c r="H370" s="4" t="s">
        <v>76</v>
      </c>
      <c r="I370" s="4"/>
      <c r="J370" s="4"/>
      <c r="K370" s="4">
        <v>-203</v>
      </c>
      <c r="L370" s="4">
        <v>11</v>
      </c>
      <c r="M370" s="4">
        <v>3</v>
      </c>
      <c r="N370" s="4" t="s">
        <v>3</v>
      </c>
      <c r="O370" s="4">
        <v>2</v>
      </c>
      <c r="P370" s="4"/>
      <c r="Q370" s="4"/>
      <c r="R370" s="4"/>
      <c r="S370" s="4"/>
      <c r="T370" s="4"/>
      <c r="U370" s="4"/>
      <c r="V370" s="4"/>
      <c r="W370" s="4"/>
    </row>
    <row r="371" spans="1:23" x14ac:dyDescent="0.2">
      <c r="A371" s="4">
        <v>50</v>
      </c>
      <c r="B371" s="4">
        <v>0</v>
      </c>
      <c r="C371" s="4">
        <v>0</v>
      </c>
      <c r="D371" s="4">
        <v>1</v>
      </c>
      <c r="E371" s="4">
        <v>231</v>
      </c>
      <c r="F371" s="4">
        <f>ROUND(Source!BB358,O371)</f>
        <v>0</v>
      </c>
      <c r="G371" s="4" t="s">
        <v>77</v>
      </c>
      <c r="H371" s="4" t="s">
        <v>78</v>
      </c>
      <c r="I371" s="4"/>
      <c r="J371" s="4"/>
      <c r="K371" s="4">
        <v>-231</v>
      </c>
      <c r="L371" s="4">
        <v>12</v>
      </c>
      <c r="M371" s="4">
        <v>3</v>
      </c>
      <c r="N371" s="4" t="s">
        <v>3</v>
      </c>
      <c r="O371" s="4">
        <v>2</v>
      </c>
      <c r="P371" s="4"/>
      <c r="Q371" s="4"/>
      <c r="R371" s="4"/>
      <c r="S371" s="4"/>
      <c r="T371" s="4"/>
      <c r="U371" s="4"/>
      <c r="V371" s="4"/>
      <c r="W371" s="4"/>
    </row>
    <row r="372" spans="1:23" x14ac:dyDescent="0.2">
      <c r="A372" s="4">
        <v>50</v>
      </c>
      <c r="B372" s="4">
        <v>0</v>
      </c>
      <c r="C372" s="4">
        <v>0</v>
      </c>
      <c r="D372" s="4">
        <v>1</v>
      </c>
      <c r="E372" s="4">
        <v>204</v>
      </c>
      <c r="F372" s="4">
        <f>ROUND(Source!R358,O372)</f>
        <v>1623.03</v>
      </c>
      <c r="G372" s="4" t="s">
        <v>79</v>
      </c>
      <c r="H372" s="4" t="s">
        <v>80</v>
      </c>
      <c r="I372" s="4"/>
      <c r="J372" s="4"/>
      <c r="K372" s="4">
        <v>-204</v>
      </c>
      <c r="L372" s="4">
        <v>13</v>
      </c>
      <c r="M372" s="4">
        <v>3</v>
      </c>
      <c r="N372" s="4" t="s">
        <v>3</v>
      </c>
      <c r="O372" s="4">
        <v>2</v>
      </c>
      <c r="P372" s="4"/>
      <c r="Q372" s="4"/>
      <c r="R372" s="4"/>
      <c r="S372" s="4"/>
      <c r="T372" s="4"/>
      <c r="U372" s="4"/>
      <c r="V372" s="4"/>
      <c r="W372" s="4"/>
    </row>
    <row r="373" spans="1:23" x14ac:dyDescent="0.2">
      <c r="A373" s="4">
        <v>50</v>
      </c>
      <c r="B373" s="4">
        <v>0</v>
      </c>
      <c r="C373" s="4">
        <v>0</v>
      </c>
      <c r="D373" s="4">
        <v>1</v>
      </c>
      <c r="E373" s="4">
        <v>205</v>
      </c>
      <c r="F373" s="4">
        <f>ROUND(Source!S358,O373)</f>
        <v>1564.01</v>
      </c>
      <c r="G373" s="4" t="s">
        <v>81</v>
      </c>
      <c r="H373" s="4" t="s">
        <v>82</v>
      </c>
      <c r="I373" s="4"/>
      <c r="J373" s="4"/>
      <c r="K373" s="4">
        <v>-205</v>
      </c>
      <c r="L373" s="4">
        <v>14</v>
      </c>
      <c r="M373" s="4">
        <v>3</v>
      </c>
      <c r="N373" s="4" t="s">
        <v>3</v>
      </c>
      <c r="O373" s="4">
        <v>2</v>
      </c>
      <c r="P373" s="4"/>
      <c r="Q373" s="4"/>
      <c r="R373" s="4"/>
      <c r="S373" s="4"/>
      <c r="T373" s="4"/>
      <c r="U373" s="4"/>
      <c r="V373" s="4"/>
      <c r="W373" s="4"/>
    </row>
    <row r="374" spans="1:23" x14ac:dyDescent="0.2">
      <c r="A374" s="4">
        <v>50</v>
      </c>
      <c r="B374" s="4">
        <v>0</v>
      </c>
      <c r="C374" s="4">
        <v>0</v>
      </c>
      <c r="D374" s="4">
        <v>1</v>
      </c>
      <c r="E374" s="4">
        <v>232</v>
      </c>
      <c r="F374" s="4">
        <f>ROUND(Source!BC358,O374)</f>
        <v>0</v>
      </c>
      <c r="G374" s="4" t="s">
        <v>83</v>
      </c>
      <c r="H374" s="4" t="s">
        <v>84</v>
      </c>
      <c r="I374" s="4"/>
      <c r="J374" s="4"/>
      <c r="K374" s="4">
        <v>-232</v>
      </c>
      <c r="L374" s="4">
        <v>15</v>
      </c>
      <c r="M374" s="4">
        <v>3</v>
      </c>
      <c r="N374" s="4" t="s">
        <v>3</v>
      </c>
      <c r="O374" s="4">
        <v>2</v>
      </c>
      <c r="P374" s="4"/>
      <c r="Q374" s="4"/>
      <c r="R374" s="4"/>
      <c r="S374" s="4"/>
      <c r="T374" s="4"/>
      <c r="U374" s="4"/>
      <c r="V374" s="4"/>
      <c r="W374" s="4"/>
    </row>
    <row r="375" spans="1:23" x14ac:dyDescent="0.2">
      <c r="A375" s="4">
        <v>50</v>
      </c>
      <c r="B375" s="4">
        <v>0</v>
      </c>
      <c r="C375" s="4">
        <v>0</v>
      </c>
      <c r="D375" s="4">
        <v>1</v>
      </c>
      <c r="E375" s="4">
        <v>214</v>
      </c>
      <c r="F375" s="4">
        <f>ROUND(Source!AS358,O375)</f>
        <v>0</v>
      </c>
      <c r="G375" s="4" t="s">
        <v>85</v>
      </c>
      <c r="H375" s="4" t="s">
        <v>86</v>
      </c>
      <c r="I375" s="4"/>
      <c r="J375" s="4"/>
      <c r="K375" s="4">
        <v>-214</v>
      </c>
      <c r="L375" s="4">
        <v>16</v>
      </c>
      <c r="M375" s="4">
        <v>3</v>
      </c>
      <c r="N375" s="4" t="s">
        <v>3</v>
      </c>
      <c r="O375" s="4">
        <v>2</v>
      </c>
      <c r="P375" s="4"/>
      <c r="Q375" s="4"/>
      <c r="R375" s="4"/>
      <c r="S375" s="4"/>
      <c r="T375" s="4"/>
      <c r="U375" s="4"/>
      <c r="V375" s="4"/>
      <c r="W375" s="4"/>
    </row>
    <row r="376" spans="1:23" x14ac:dyDescent="0.2">
      <c r="A376" s="4">
        <v>50</v>
      </c>
      <c r="B376" s="4">
        <v>0</v>
      </c>
      <c r="C376" s="4">
        <v>0</v>
      </c>
      <c r="D376" s="4">
        <v>1</v>
      </c>
      <c r="E376" s="4">
        <v>215</v>
      </c>
      <c r="F376" s="4">
        <f>ROUND(Source!AT358,O376)</f>
        <v>0</v>
      </c>
      <c r="G376" s="4" t="s">
        <v>87</v>
      </c>
      <c r="H376" s="4" t="s">
        <v>88</v>
      </c>
      <c r="I376" s="4"/>
      <c r="J376" s="4"/>
      <c r="K376" s="4">
        <v>-215</v>
      </c>
      <c r="L376" s="4">
        <v>17</v>
      </c>
      <c r="M376" s="4">
        <v>3</v>
      </c>
      <c r="N376" s="4" t="s">
        <v>3</v>
      </c>
      <c r="O376" s="4">
        <v>2</v>
      </c>
      <c r="P376" s="4"/>
      <c r="Q376" s="4"/>
      <c r="R376" s="4"/>
      <c r="S376" s="4"/>
      <c r="T376" s="4"/>
      <c r="U376" s="4"/>
      <c r="V376" s="4"/>
      <c r="W376" s="4"/>
    </row>
    <row r="377" spans="1:23" x14ac:dyDescent="0.2">
      <c r="A377" s="4">
        <v>50</v>
      </c>
      <c r="B377" s="4">
        <v>0</v>
      </c>
      <c r="C377" s="4">
        <v>0</v>
      </c>
      <c r="D377" s="4">
        <v>1</v>
      </c>
      <c r="E377" s="4">
        <v>217</v>
      </c>
      <c r="F377" s="4">
        <f>ROUND(Source!AU358,O377)</f>
        <v>19776.02</v>
      </c>
      <c r="G377" s="4" t="s">
        <v>89</v>
      </c>
      <c r="H377" s="4" t="s">
        <v>90</v>
      </c>
      <c r="I377" s="4"/>
      <c r="J377" s="4"/>
      <c r="K377" s="4">
        <v>-217</v>
      </c>
      <c r="L377" s="4">
        <v>18</v>
      </c>
      <c r="M377" s="4">
        <v>3</v>
      </c>
      <c r="N377" s="4" t="s">
        <v>3</v>
      </c>
      <c r="O377" s="4">
        <v>2</v>
      </c>
      <c r="P377" s="4"/>
      <c r="Q377" s="4"/>
      <c r="R377" s="4"/>
      <c r="S377" s="4"/>
      <c r="T377" s="4"/>
      <c r="U377" s="4"/>
      <c r="V377" s="4"/>
      <c r="W377" s="4"/>
    </row>
    <row r="378" spans="1:23" x14ac:dyDescent="0.2">
      <c r="A378" s="4">
        <v>50</v>
      </c>
      <c r="B378" s="4">
        <v>0</v>
      </c>
      <c r="C378" s="4">
        <v>0</v>
      </c>
      <c r="D378" s="4">
        <v>1</v>
      </c>
      <c r="E378" s="4">
        <v>230</v>
      </c>
      <c r="F378" s="4">
        <f>ROUND(Source!BA358,O378)</f>
        <v>0</v>
      </c>
      <c r="G378" s="4" t="s">
        <v>91</v>
      </c>
      <c r="H378" s="4" t="s">
        <v>92</v>
      </c>
      <c r="I378" s="4"/>
      <c r="J378" s="4"/>
      <c r="K378" s="4">
        <v>-230</v>
      </c>
      <c r="L378" s="4">
        <v>19</v>
      </c>
      <c r="M378" s="4">
        <v>3</v>
      </c>
      <c r="N378" s="4" t="s">
        <v>3</v>
      </c>
      <c r="O378" s="4">
        <v>2</v>
      </c>
      <c r="P378" s="4"/>
      <c r="Q378" s="4"/>
      <c r="R378" s="4"/>
      <c r="S378" s="4"/>
      <c r="T378" s="4"/>
      <c r="U378" s="4"/>
      <c r="V378" s="4"/>
      <c r="W378" s="4"/>
    </row>
    <row r="379" spans="1:23" x14ac:dyDescent="0.2">
      <c r="A379" s="4">
        <v>50</v>
      </c>
      <c r="B379" s="4">
        <v>0</v>
      </c>
      <c r="C379" s="4">
        <v>0</v>
      </c>
      <c r="D379" s="4">
        <v>1</v>
      </c>
      <c r="E379" s="4">
        <v>206</v>
      </c>
      <c r="F379" s="4">
        <f>ROUND(Source!T358,O379)</f>
        <v>0</v>
      </c>
      <c r="G379" s="4" t="s">
        <v>93</v>
      </c>
      <c r="H379" s="4" t="s">
        <v>94</v>
      </c>
      <c r="I379" s="4"/>
      <c r="J379" s="4"/>
      <c r="K379" s="4">
        <v>-206</v>
      </c>
      <c r="L379" s="4">
        <v>20</v>
      </c>
      <c r="M379" s="4">
        <v>3</v>
      </c>
      <c r="N379" s="4" t="s">
        <v>3</v>
      </c>
      <c r="O379" s="4">
        <v>2</v>
      </c>
      <c r="P379" s="4"/>
      <c r="Q379" s="4"/>
      <c r="R379" s="4"/>
      <c r="S379" s="4"/>
      <c r="T379" s="4"/>
      <c r="U379" s="4"/>
      <c r="V379" s="4"/>
      <c r="W379" s="4"/>
    </row>
    <row r="380" spans="1:23" x14ac:dyDescent="0.2">
      <c r="A380" s="4">
        <v>50</v>
      </c>
      <c r="B380" s="4">
        <v>0</v>
      </c>
      <c r="C380" s="4">
        <v>0</v>
      </c>
      <c r="D380" s="4">
        <v>1</v>
      </c>
      <c r="E380" s="4">
        <v>207</v>
      </c>
      <c r="F380" s="4">
        <f>Source!U358</f>
        <v>10.53936</v>
      </c>
      <c r="G380" s="4" t="s">
        <v>95</v>
      </c>
      <c r="H380" s="4" t="s">
        <v>96</v>
      </c>
      <c r="I380" s="4"/>
      <c r="J380" s="4"/>
      <c r="K380" s="4">
        <v>-207</v>
      </c>
      <c r="L380" s="4">
        <v>21</v>
      </c>
      <c r="M380" s="4">
        <v>3</v>
      </c>
      <c r="N380" s="4" t="s">
        <v>3</v>
      </c>
      <c r="O380" s="4">
        <v>-1</v>
      </c>
      <c r="P380" s="4"/>
      <c r="Q380" s="4"/>
      <c r="R380" s="4"/>
      <c r="S380" s="4"/>
      <c r="T380" s="4"/>
      <c r="U380" s="4"/>
      <c r="V380" s="4"/>
      <c r="W380" s="4"/>
    </row>
    <row r="381" spans="1:23" x14ac:dyDescent="0.2">
      <c r="A381" s="4">
        <v>50</v>
      </c>
      <c r="B381" s="4">
        <v>0</v>
      </c>
      <c r="C381" s="4">
        <v>0</v>
      </c>
      <c r="D381" s="4">
        <v>1</v>
      </c>
      <c r="E381" s="4">
        <v>208</v>
      </c>
      <c r="F381" s="4">
        <f>Source!V358</f>
        <v>0</v>
      </c>
      <c r="G381" s="4" t="s">
        <v>97</v>
      </c>
      <c r="H381" s="4" t="s">
        <v>98</v>
      </c>
      <c r="I381" s="4"/>
      <c r="J381" s="4"/>
      <c r="K381" s="4">
        <v>-208</v>
      </c>
      <c r="L381" s="4">
        <v>22</v>
      </c>
      <c r="M381" s="4">
        <v>3</v>
      </c>
      <c r="N381" s="4" t="s">
        <v>3</v>
      </c>
      <c r="O381" s="4">
        <v>-1</v>
      </c>
      <c r="P381" s="4"/>
      <c r="Q381" s="4"/>
      <c r="R381" s="4"/>
      <c r="S381" s="4"/>
      <c r="T381" s="4"/>
      <c r="U381" s="4"/>
      <c r="V381" s="4"/>
      <c r="W381" s="4"/>
    </row>
    <row r="382" spans="1:23" x14ac:dyDescent="0.2">
      <c r="A382" s="4">
        <v>50</v>
      </c>
      <c r="B382" s="4">
        <v>0</v>
      </c>
      <c r="C382" s="4">
        <v>0</v>
      </c>
      <c r="D382" s="4">
        <v>1</v>
      </c>
      <c r="E382" s="4">
        <v>209</v>
      </c>
      <c r="F382" s="4">
        <f>ROUND(Source!W358,O382)</f>
        <v>0</v>
      </c>
      <c r="G382" s="4" t="s">
        <v>99</v>
      </c>
      <c r="H382" s="4" t="s">
        <v>100</v>
      </c>
      <c r="I382" s="4"/>
      <c r="J382" s="4"/>
      <c r="K382" s="4">
        <v>-209</v>
      </c>
      <c r="L382" s="4">
        <v>23</v>
      </c>
      <c r="M382" s="4">
        <v>3</v>
      </c>
      <c r="N382" s="4" t="s">
        <v>3</v>
      </c>
      <c r="O382" s="4">
        <v>2</v>
      </c>
      <c r="P382" s="4"/>
      <c r="Q382" s="4"/>
      <c r="R382" s="4"/>
      <c r="S382" s="4"/>
      <c r="T382" s="4"/>
      <c r="U382" s="4"/>
      <c r="V382" s="4"/>
      <c r="W382" s="4"/>
    </row>
    <row r="383" spans="1:23" x14ac:dyDescent="0.2">
      <c r="A383" s="4">
        <v>50</v>
      </c>
      <c r="B383" s="4">
        <v>0</v>
      </c>
      <c r="C383" s="4">
        <v>0</v>
      </c>
      <c r="D383" s="4">
        <v>1</v>
      </c>
      <c r="E383" s="4">
        <v>210</v>
      </c>
      <c r="F383" s="4">
        <f>ROUND(Source!X358,O383)</f>
        <v>1094.81</v>
      </c>
      <c r="G383" s="4" t="s">
        <v>101</v>
      </c>
      <c r="H383" s="4" t="s">
        <v>102</v>
      </c>
      <c r="I383" s="4"/>
      <c r="J383" s="4"/>
      <c r="K383" s="4">
        <v>-210</v>
      </c>
      <c r="L383" s="4">
        <v>24</v>
      </c>
      <c r="M383" s="4">
        <v>3</v>
      </c>
      <c r="N383" s="4" t="s">
        <v>3</v>
      </c>
      <c r="O383" s="4">
        <v>2</v>
      </c>
      <c r="P383" s="4"/>
      <c r="Q383" s="4"/>
      <c r="R383" s="4"/>
      <c r="S383" s="4"/>
      <c r="T383" s="4"/>
      <c r="U383" s="4"/>
      <c r="V383" s="4"/>
      <c r="W383" s="4"/>
    </row>
    <row r="384" spans="1:23" x14ac:dyDescent="0.2">
      <c r="A384" s="4">
        <v>50</v>
      </c>
      <c r="B384" s="4">
        <v>0</v>
      </c>
      <c r="C384" s="4">
        <v>0</v>
      </c>
      <c r="D384" s="4">
        <v>1</v>
      </c>
      <c r="E384" s="4">
        <v>211</v>
      </c>
      <c r="F384" s="4">
        <f>ROUND(Source!Y358,O384)</f>
        <v>156.41</v>
      </c>
      <c r="G384" s="4" t="s">
        <v>103</v>
      </c>
      <c r="H384" s="4" t="s">
        <v>104</v>
      </c>
      <c r="I384" s="4"/>
      <c r="J384" s="4"/>
      <c r="K384" s="4">
        <v>-211</v>
      </c>
      <c r="L384" s="4">
        <v>25</v>
      </c>
      <c r="M384" s="4">
        <v>3</v>
      </c>
      <c r="N384" s="4" t="s">
        <v>3</v>
      </c>
      <c r="O384" s="4">
        <v>2</v>
      </c>
      <c r="P384" s="4"/>
      <c r="Q384" s="4"/>
      <c r="R384" s="4"/>
      <c r="S384" s="4"/>
      <c r="T384" s="4"/>
      <c r="U384" s="4"/>
      <c r="V384" s="4"/>
      <c r="W384" s="4"/>
    </row>
    <row r="385" spans="1:206" x14ac:dyDescent="0.2">
      <c r="A385" s="4">
        <v>50</v>
      </c>
      <c r="B385" s="4">
        <v>0</v>
      </c>
      <c r="C385" s="4">
        <v>0</v>
      </c>
      <c r="D385" s="4">
        <v>1</v>
      </c>
      <c r="E385" s="4">
        <v>224</v>
      </c>
      <c r="F385" s="4">
        <f>ROUND(Source!AR358,O385)</f>
        <v>19776.02</v>
      </c>
      <c r="G385" s="4" t="s">
        <v>105</v>
      </c>
      <c r="H385" s="4" t="s">
        <v>106</v>
      </c>
      <c r="I385" s="4"/>
      <c r="J385" s="4"/>
      <c r="K385" s="4">
        <v>-224</v>
      </c>
      <c r="L385" s="4">
        <v>26</v>
      </c>
      <c r="M385" s="4">
        <v>3</v>
      </c>
      <c r="N385" s="4" t="s">
        <v>3</v>
      </c>
      <c r="O385" s="4">
        <v>2</v>
      </c>
      <c r="P385" s="4"/>
      <c r="Q385" s="4"/>
      <c r="R385" s="4"/>
      <c r="S385" s="4"/>
      <c r="T385" s="4"/>
      <c r="U385" s="4"/>
      <c r="V385" s="4"/>
      <c r="W385" s="4"/>
    </row>
    <row r="387" spans="1:206" x14ac:dyDescent="0.2">
      <c r="A387" s="2">
        <v>51</v>
      </c>
      <c r="B387" s="2">
        <f>B20</f>
        <v>1</v>
      </c>
      <c r="C387" s="2">
        <f>A20</f>
        <v>3</v>
      </c>
      <c r="D387" s="2">
        <f>ROW(A20)</f>
        <v>20</v>
      </c>
      <c r="E387" s="2"/>
      <c r="F387" s="2" t="str">
        <f>IF(F20&lt;&gt;"",F20,"")</f>
        <v>Новая локальная смета</v>
      </c>
      <c r="G387" s="2" t="str">
        <f>IF(G20&lt;&gt;"",G20,"")</f>
        <v>Новая локальная смета</v>
      </c>
      <c r="H387" s="2">
        <v>0</v>
      </c>
      <c r="I387" s="2"/>
      <c r="J387" s="2"/>
      <c r="K387" s="2"/>
      <c r="L387" s="2"/>
      <c r="M387" s="2"/>
      <c r="N387" s="2"/>
      <c r="O387" s="2">
        <f t="shared" ref="O387:T387" si="297">ROUND(O37+O77+O119+O228+O271+O314+O358+AB387,2)</f>
        <v>3099421</v>
      </c>
      <c r="P387" s="2">
        <f t="shared" si="297"/>
        <v>2420023.54</v>
      </c>
      <c r="Q387" s="2">
        <f t="shared" si="297"/>
        <v>478828.56</v>
      </c>
      <c r="R387" s="2">
        <f t="shared" si="297"/>
        <v>294937.12</v>
      </c>
      <c r="S387" s="2">
        <f t="shared" si="297"/>
        <v>200568.9</v>
      </c>
      <c r="T387" s="2">
        <f t="shared" si="297"/>
        <v>0</v>
      </c>
      <c r="U387" s="2">
        <f>U37+U77+U119+U228+U271+U314+U358+AH387</f>
        <v>1150.568951</v>
      </c>
      <c r="V387" s="2">
        <f>V37+V77+V119+V228+V271+V314+V358+AI387</f>
        <v>0</v>
      </c>
      <c r="W387" s="2">
        <f>ROUND(W37+W77+W119+W228+W271+W314+W358+AJ387,2)</f>
        <v>0</v>
      </c>
      <c r="X387" s="2">
        <f>ROUND(X37+X77+X119+X228+X271+X314+X358+AK387,2)</f>
        <v>140581.29999999999</v>
      </c>
      <c r="Y387" s="2">
        <f>ROUND(Y37+Y77+Y119+Y228+Y271+Y314+Y358+AL387,2)</f>
        <v>20056.91</v>
      </c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>
        <f t="shared" ref="AO387:BC387" si="298">ROUND(AO37+AO77+AO119+AO228+AO271+AO314+AO358+BX387,2)</f>
        <v>0</v>
      </c>
      <c r="AP387" s="2">
        <f t="shared" si="298"/>
        <v>0</v>
      </c>
      <c r="AQ387" s="2">
        <f t="shared" si="298"/>
        <v>0</v>
      </c>
      <c r="AR387" s="2">
        <f t="shared" si="298"/>
        <v>3370128.92</v>
      </c>
      <c r="AS387" s="2">
        <f t="shared" si="298"/>
        <v>0</v>
      </c>
      <c r="AT387" s="2">
        <f t="shared" si="298"/>
        <v>0</v>
      </c>
      <c r="AU387" s="2">
        <f t="shared" si="298"/>
        <v>3370128.92</v>
      </c>
      <c r="AV387" s="2">
        <f t="shared" si="298"/>
        <v>2420023.54</v>
      </c>
      <c r="AW387" s="2">
        <f t="shared" si="298"/>
        <v>2420023.54</v>
      </c>
      <c r="AX387" s="2">
        <f t="shared" si="298"/>
        <v>0</v>
      </c>
      <c r="AY387" s="2">
        <f t="shared" si="298"/>
        <v>2420023.54</v>
      </c>
      <c r="AZ387" s="2">
        <f t="shared" si="298"/>
        <v>0</v>
      </c>
      <c r="BA387" s="2">
        <f t="shared" si="298"/>
        <v>0</v>
      </c>
      <c r="BB387" s="2">
        <f t="shared" si="298"/>
        <v>0</v>
      </c>
      <c r="BC387" s="2">
        <f t="shared" si="298"/>
        <v>0</v>
      </c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>
        <v>0</v>
      </c>
    </row>
    <row r="389" spans="1:206" x14ac:dyDescent="0.2">
      <c r="A389" s="4">
        <v>50</v>
      </c>
      <c r="B389" s="4">
        <v>1</v>
      </c>
      <c r="C389" s="4">
        <v>0</v>
      </c>
      <c r="D389" s="4">
        <v>2</v>
      </c>
      <c r="E389" s="4">
        <v>0</v>
      </c>
      <c r="F389" s="4">
        <f>ROUND(F418,O389)</f>
        <v>3370128.92</v>
      </c>
      <c r="G389" s="4" t="s">
        <v>203</v>
      </c>
      <c r="H389" s="4" t="s">
        <v>204</v>
      </c>
      <c r="I389" s="4"/>
      <c r="J389" s="4"/>
      <c r="K389" s="4">
        <v>212</v>
      </c>
      <c r="L389" s="4">
        <v>1</v>
      </c>
      <c r="M389" s="4">
        <v>0</v>
      </c>
      <c r="N389" s="4" t="s">
        <v>3</v>
      </c>
      <c r="O389" s="4">
        <v>2</v>
      </c>
      <c r="P389" s="4"/>
      <c r="Q389" s="4"/>
      <c r="R389" s="4"/>
      <c r="S389" s="4"/>
      <c r="T389" s="4"/>
      <c r="U389" s="4"/>
      <c r="V389" s="4"/>
      <c r="W389" s="4"/>
    </row>
    <row r="390" spans="1:206" x14ac:dyDescent="0.2">
      <c r="A390" s="4">
        <v>50</v>
      </c>
      <c r="B390" s="4">
        <v>1</v>
      </c>
      <c r="C390" s="4">
        <v>0</v>
      </c>
      <c r="D390" s="4">
        <v>2</v>
      </c>
      <c r="E390" s="4">
        <v>0</v>
      </c>
      <c r="F390" s="4">
        <f>ROUND(F389*0.18,O390)</f>
        <v>606623.21</v>
      </c>
      <c r="G390" s="4" t="s">
        <v>205</v>
      </c>
      <c r="H390" s="4" t="s">
        <v>206</v>
      </c>
      <c r="I390" s="4"/>
      <c r="J390" s="4"/>
      <c r="K390" s="4">
        <v>212</v>
      </c>
      <c r="L390" s="4">
        <v>2</v>
      </c>
      <c r="M390" s="4">
        <v>0</v>
      </c>
      <c r="N390" s="4" t="s">
        <v>3</v>
      </c>
      <c r="O390" s="4">
        <v>2</v>
      </c>
      <c r="P390" s="4"/>
      <c r="Q390" s="4"/>
      <c r="R390" s="4"/>
      <c r="S390" s="4"/>
      <c r="T390" s="4"/>
      <c r="U390" s="4"/>
      <c r="V390" s="4"/>
      <c r="W390" s="4"/>
    </row>
    <row r="391" spans="1:206" x14ac:dyDescent="0.2">
      <c r="A391" s="4">
        <v>50</v>
      </c>
      <c r="B391" s="4">
        <v>1</v>
      </c>
      <c r="C391" s="4">
        <v>0</v>
      </c>
      <c r="D391" s="4">
        <v>2</v>
      </c>
      <c r="E391" s="4">
        <v>0</v>
      </c>
      <c r="F391" s="4">
        <f>ROUND(F389+F390,O391)</f>
        <v>3976752.13</v>
      </c>
      <c r="G391" s="4" t="s">
        <v>207</v>
      </c>
      <c r="H391" s="4" t="s">
        <v>208</v>
      </c>
      <c r="I391" s="4"/>
      <c r="J391" s="4"/>
      <c r="K391" s="4">
        <v>212</v>
      </c>
      <c r="L391" s="4">
        <v>3</v>
      </c>
      <c r="M391" s="4">
        <v>0</v>
      </c>
      <c r="N391" s="4" t="s">
        <v>3</v>
      </c>
      <c r="O391" s="4">
        <v>2</v>
      </c>
      <c r="P391" s="4"/>
      <c r="Q391" s="4"/>
      <c r="R391" s="4"/>
      <c r="S391" s="4"/>
      <c r="T391" s="4"/>
      <c r="U391" s="4"/>
      <c r="V391" s="4"/>
      <c r="W391" s="4"/>
    </row>
    <row r="392" spans="1:206" x14ac:dyDescent="0.2">
      <c r="A392" s="4">
        <v>50</v>
      </c>
      <c r="B392" s="4">
        <v>1</v>
      </c>
      <c r="C392" s="4">
        <v>0</v>
      </c>
      <c r="D392" s="4">
        <v>2</v>
      </c>
      <c r="E392" s="4">
        <v>0</v>
      </c>
      <c r="F392" s="4">
        <f>ROUND(F391*0.944263368,O392)</f>
        <v>3755101.36</v>
      </c>
      <c r="G392" s="4" t="s">
        <v>209</v>
      </c>
      <c r="H392" s="4" t="s">
        <v>210</v>
      </c>
      <c r="I392" s="4"/>
      <c r="J392" s="4"/>
      <c r="K392" s="4">
        <v>212</v>
      </c>
      <c r="L392" s="4">
        <v>4</v>
      </c>
      <c r="M392" s="4">
        <v>0</v>
      </c>
      <c r="N392" s="4" t="s">
        <v>3</v>
      </c>
      <c r="O392" s="4">
        <v>2</v>
      </c>
      <c r="P392" s="4"/>
      <c r="Q392" s="4"/>
      <c r="R392" s="4"/>
      <c r="S392" s="4"/>
      <c r="T392" s="4"/>
      <c r="U392" s="4"/>
      <c r="V392" s="4"/>
      <c r="W392" s="4"/>
    </row>
    <row r="393" spans="1:206" x14ac:dyDescent="0.2">
      <c r="A393" s="4">
        <v>50</v>
      </c>
      <c r="B393" s="4">
        <v>0</v>
      </c>
      <c r="C393" s="4">
        <v>0</v>
      </c>
      <c r="D393" s="4">
        <v>1</v>
      </c>
      <c r="E393" s="4">
        <v>201</v>
      </c>
      <c r="F393" s="4">
        <f>ROUND(Source!O387,O393)</f>
        <v>3099421</v>
      </c>
      <c r="G393" s="4" t="s">
        <v>55</v>
      </c>
      <c r="H393" s="4" t="s">
        <v>56</v>
      </c>
      <c r="I393" s="4"/>
      <c r="J393" s="4"/>
      <c r="K393" s="4">
        <v>-201</v>
      </c>
      <c r="L393" s="4">
        <v>5</v>
      </c>
      <c r="M393" s="4">
        <v>3</v>
      </c>
      <c r="N393" s="4" t="s">
        <v>3</v>
      </c>
      <c r="O393" s="4">
        <v>2</v>
      </c>
      <c r="P393" s="4"/>
      <c r="Q393" s="4"/>
      <c r="R393" s="4"/>
      <c r="S393" s="4"/>
      <c r="T393" s="4"/>
      <c r="U393" s="4"/>
      <c r="V393" s="4"/>
      <c r="W393" s="4"/>
    </row>
    <row r="394" spans="1:206" x14ac:dyDescent="0.2">
      <c r="A394" s="4">
        <v>50</v>
      </c>
      <c r="B394" s="4">
        <v>0</v>
      </c>
      <c r="C394" s="4">
        <v>0</v>
      </c>
      <c r="D394" s="4">
        <v>1</v>
      </c>
      <c r="E394" s="4">
        <v>202</v>
      </c>
      <c r="F394" s="4">
        <f>ROUND(Source!P387,O394)</f>
        <v>2420023.54</v>
      </c>
      <c r="G394" s="4" t="s">
        <v>57</v>
      </c>
      <c r="H394" s="4" t="s">
        <v>58</v>
      </c>
      <c r="I394" s="4"/>
      <c r="J394" s="4"/>
      <c r="K394" s="4">
        <v>-202</v>
      </c>
      <c r="L394" s="4">
        <v>6</v>
      </c>
      <c r="M394" s="4">
        <v>3</v>
      </c>
      <c r="N394" s="4" t="s">
        <v>3</v>
      </c>
      <c r="O394" s="4">
        <v>2</v>
      </c>
      <c r="P394" s="4"/>
      <c r="Q394" s="4"/>
      <c r="R394" s="4"/>
      <c r="S394" s="4"/>
      <c r="T394" s="4"/>
      <c r="U394" s="4"/>
      <c r="V394" s="4"/>
      <c r="W394" s="4"/>
    </row>
    <row r="395" spans="1:206" x14ac:dyDescent="0.2">
      <c r="A395" s="4">
        <v>50</v>
      </c>
      <c r="B395" s="4">
        <v>0</v>
      </c>
      <c r="C395" s="4">
        <v>0</v>
      </c>
      <c r="D395" s="4">
        <v>1</v>
      </c>
      <c r="E395" s="4">
        <v>222</v>
      </c>
      <c r="F395" s="4">
        <f>ROUND(Source!AO387,O395)</f>
        <v>0</v>
      </c>
      <c r="G395" s="4" t="s">
        <v>59</v>
      </c>
      <c r="H395" s="4" t="s">
        <v>60</v>
      </c>
      <c r="I395" s="4"/>
      <c r="J395" s="4"/>
      <c r="K395" s="4">
        <v>-222</v>
      </c>
      <c r="L395" s="4">
        <v>7</v>
      </c>
      <c r="M395" s="4">
        <v>3</v>
      </c>
      <c r="N395" s="4" t="s">
        <v>3</v>
      </c>
      <c r="O395" s="4">
        <v>2</v>
      </c>
      <c r="P395" s="4"/>
      <c r="Q395" s="4"/>
      <c r="R395" s="4"/>
      <c r="S395" s="4"/>
      <c r="T395" s="4"/>
      <c r="U395" s="4"/>
      <c r="V395" s="4"/>
      <c r="W395" s="4"/>
    </row>
    <row r="396" spans="1:206" x14ac:dyDescent="0.2">
      <c r="A396" s="4">
        <v>50</v>
      </c>
      <c r="B396" s="4">
        <v>0</v>
      </c>
      <c r="C396" s="4">
        <v>0</v>
      </c>
      <c r="D396" s="4">
        <v>1</v>
      </c>
      <c r="E396" s="4">
        <v>225</v>
      </c>
      <c r="F396" s="4">
        <f>ROUND(Source!AV387,O396)</f>
        <v>2420023.54</v>
      </c>
      <c r="G396" s="4" t="s">
        <v>61</v>
      </c>
      <c r="H396" s="4" t="s">
        <v>62</v>
      </c>
      <c r="I396" s="4"/>
      <c r="J396" s="4"/>
      <c r="K396" s="4">
        <v>-225</v>
      </c>
      <c r="L396" s="4">
        <v>8</v>
      </c>
      <c r="M396" s="4">
        <v>3</v>
      </c>
      <c r="N396" s="4" t="s">
        <v>3</v>
      </c>
      <c r="O396" s="4">
        <v>2</v>
      </c>
      <c r="P396" s="4"/>
      <c r="Q396" s="4"/>
      <c r="R396" s="4"/>
      <c r="S396" s="4"/>
      <c r="T396" s="4"/>
      <c r="U396" s="4"/>
      <c r="V396" s="4"/>
      <c r="W396" s="4"/>
    </row>
    <row r="397" spans="1:206" x14ac:dyDescent="0.2">
      <c r="A397" s="4">
        <v>50</v>
      </c>
      <c r="B397" s="4">
        <v>0</v>
      </c>
      <c r="C397" s="4">
        <v>0</v>
      </c>
      <c r="D397" s="4">
        <v>1</v>
      </c>
      <c r="E397" s="4">
        <v>226</v>
      </c>
      <c r="F397" s="4">
        <f>ROUND(Source!AW387,O397)</f>
        <v>2420023.54</v>
      </c>
      <c r="G397" s="4" t="s">
        <v>63</v>
      </c>
      <c r="H397" s="4" t="s">
        <v>64</v>
      </c>
      <c r="I397" s="4"/>
      <c r="J397" s="4"/>
      <c r="K397" s="4">
        <v>-226</v>
      </c>
      <c r="L397" s="4">
        <v>9</v>
      </c>
      <c r="M397" s="4">
        <v>3</v>
      </c>
      <c r="N397" s="4" t="s">
        <v>3</v>
      </c>
      <c r="O397" s="4">
        <v>2</v>
      </c>
      <c r="P397" s="4"/>
      <c r="Q397" s="4"/>
      <c r="R397" s="4"/>
      <c r="S397" s="4"/>
      <c r="T397" s="4"/>
      <c r="U397" s="4"/>
      <c r="V397" s="4"/>
      <c r="W397" s="4"/>
    </row>
    <row r="398" spans="1:206" x14ac:dyDescent="0.2">
      <c r="A398" s="4">
        <v>50</v>
      </c>
      <c r="B398" s="4">
        <v>0</v>
      </c>
      <c r="C398" s="4">
        <v>0</v>
      </c>
      <c r="D398" s="4">
        <v>1</v>
      </c>
      <c r="E398" s="4">
        <v>227</v>
      </c>
      <c r="F398" s="4">
        <f>ROUND(Source!AX387,O398)</f>
        <v>0</v>
      </c>
      <c r="G398" s="4" t="s">
        <v>65</v>
      </c>
      <c r="H398" s="4" t="s">
        <v>66</v>
      </c>
      <c r="I398" s="4"/>
      <c r="J398" s="4"/>
      <c r="K398" s="4">
        <v>-227</v>
      </c>
      <c r="L398" s="4">
        <v>10</v>
      </c>
      <c r="M398" s="4">
        <v>3</v>
      </c>
      <c r="N398" s="4" t="s">
        <v>3</v>
      </c>
      <c r="O398" s="4">
        <v>2</v>
      </c>
      <c r="P398" s="4"/>
      <c r="Q398" s="4"/>
      <c r="R398" s="4"/>
      <c r="S398" s="4"/>
      <c r="T398" s="4"/>
      <c r="U398" s="4"/>
      <c r="V398" s="4"/>
      <c r="W398" s="4"/>
    </row>
    <row r="399" spans="1:206" x14ac:dyDescent="0.2">
      <c r="A399" s="4">
        <v>50</v>
      </c>
      <c r="B399" s="4">
        <v>0</v>
      </c>
      <c r="C399" s="4">
        <v>0</v>
      </c>
      <c r="D399" s="4">
        <v>1</v>
      </c>
      <c r="E399" s="4">
        <v>228</v>
      </c>
      <c r="F399" s="4">
        <f>ROUND(Source!AY387,O399)</f>
        <v>2420023.54</v>
      </c>
      <c r="G399" s="4" t="s">
        <v>67</v>
      </c>
      <c r="H399" s="4" t="s">
        <v>68</v>
      </c>
      <c r="I399" s="4"/>
      <c r="J399" s="4"/>
      <c r="K399" s="4">
        <v>-228</v>
      </c>
      <c r="L399" s="4">
        <v>11</v>
      </c>
      <c r="M399" s="4">
        <v>3</v>
      </c>
      <c r="N399" s="4" t="s">
        <v>3</v>
      </c>
      <c r="O399" s="4">
        <v>2</v>
      </c>
      <c r="P399" s="4"/>
      <c r="Q399" s="4"/>
      <c r="R399" s="4"/>
      <c r="S399" s="4"/>
      <c r="T399" s="4"/>
      <c r="U399" s="4"/>
      <c r="V399" s="4"/>
      <c r="W399" s="4"/>
    </row>
    <row r="400" spans="1:206" x14ac:dyDescent="0.2">
      <c r="A400" s="4">
        <v>50</v>
      </c>
      <c r="B400" s="4">
        <v>0</v>
      </c>
      <c r="C400" s="4">
        <v>0</v>
      </c>
      <c r="D400" s="4">
        <v>1</v>
      </c>
      <c r="E400" s="4">
        <v>216</v>
      </c>
      <c r="F400" s="4">
        <f>ROUND(Source!AP387,O400)</f>
        <v>0</v>
      </c>
      <c r="G400" s="4" t="s">
        <v>69</v>
      </c>
      <c r="H400" s="4" t="s">
        <v>70</v>
      </c>
      <c r="I400" s="4"/>
      <c r="J400" s="4"/>
      <c r="K400" s="4">
        <v>-216</v>
      </c>
      <c r="L400" s="4">
        <v>12</v>
      </c>
      <c r="M400" s="4">
        <v>3</v>
      </c>
      <c r="N400" s="4" t="s">
        <v>3</v>
      </c>
      <c r="O400" s="4">
        <v>2</v>
      </c>
      <c r="P400" s="4"/>
      <c r="Q400" s="4"/>
      <c r="R400" s="4"/>
      <c r="S400" s="4"/>
      <c r="T400" s="4"/>
      <c r="U400" s="4"/>
      <c r="V400" s="4"/>
      <c r="W400" s="4"/>
    </row>
    <row r="401" spans="1:23" x14ac:dyDescent="0.2">
      <c r="A401" s="4">
        <v>50</v>
      </c>
      <c r="B401" s="4">
        <v>0</v>
      </c>
      <c r="C401" s="4">
        <v>0</v>
      </c>
      <c r="D401" s="4">
        <v>1</v>
      </c>
      <c r="E401" s="4">
        <v>223</v>
      </c>
      <c r="F401" s="4">
        <f>ROUND(Source!AQ387,O401)</f>
        <v>0</v>
      </c>
      <c r="G401" s="4" t="s">
        <v>71</v>
      </c>
      <c r="H401" s="4" t="s">
        <v>72</v>
      </c>
      <c r="I401" s="4"/>
      <c r="J401" s="4"/>
      <c r="K401" s="4">
        <v>-223</v>
      </c>
      <c r="L401" s="4">
        <v>13</v>
      </c>
      <c r="M401" s="4">
        <v>3</v>
      </c>
      <c r="N401" s="4" t="s">
        <v>3</v>
      </c>
      <c r="O401" s="4">
        <v>2</v>
      </c>
      <c r="P401" s="4"/>
      <c r="Q401" s="4"/>
      <c r="R401" s="4"/>
      <c r="S401" s="4"/>
      <c r="T401" s="4"/>
      <c r="U401" s="4"/>
      <c r="V401" s="4"/>
      <c r="W401" s="4"/>
    </row>
    <row r="402" spans="1:23" x14ac:dyDescent="0.2">
      <c r="A402" s="4">
        <v>50</v>
      </c>
      <c r="B402" s="4">
        <v>0</v>
      </c>
      <c r="C402" s="4">
        <v>0</v>
      </c>
      <c r="D402" s="4">
        <v>1</v>
      </c>
      <c r="E402" s="4">
        <v>229</v>
      </c>
      <c r="F402" s="4">
        <f>ROUND(Source!AZ387,O402)</f>
        <v>0</v>
      </c>
      <c r="G402" s="4" t="s">
        <v>73</v>
      </c>
      <c r="H402" s="4" t="s">
        <v>74</v>
      </c>
      <c r="I402" s="4"/>
      <c r="J402" s="4"/>
      <c r="K402" s="4">
        <v>-229</v>
      </c>
      <c r="L402" s="4">
        <v>14</v>
      </c>
      <c r="M402" s="4">
        <v>3</v>
      </c>
      <c r="N402" s="4" t="s">
        <v>3</v>
      </c>
      <c r="O402" s="4">
        <v>2</v>
      </c>
      <c r="P402" s="4"/>
      <c r="Q402" s="4"/>
      <c r="R402" s="4"/>
      <c r="S402" s="4"/>
      <c r="T402" s="4"/>
      <c r="U402" s="4"/>
      <c r="V402" s="4"/>
      <c r="W402" s="4"/>
    </row>
    <row r="403" spans="1:23" x14ac:dyDescent="0.2">
      <c r="A403" s="4">
        <v>50</v>
      </c>
      <c r="B403" s="4">
        <v>0</v>
      </c>
      <c r="C403" s="4">
        <v>0</v>
      </c>
      <c r="D403" s="4">
        <v>1</v>
      </c>
      <c r="E403" s="4">
        <v>203</v>
      </c>
      <c r="F403" s="4">
        <f>ROUND(Source!Q387,O403)</f>
        <v>478828.56</v>
      </c>
      <c r="G403" s="4" t="s">
        <v>75</v>
      </c>
      <c r="H403" s="4" t="s">
        <v>76</v>
      </c>
      <c r="I403" s="4"/>
      <c r="J403" s="4"/>
      <c r="K403" s="4">
        <v>-203</v>
      </c>
      <c r="L403" s="4">
        <v>15</v>
      </c>
      <c r="M403" s="4">
        <v>3</v>
      </c>
      <c r="N403" s="4" t="s">
        <v>3</v>
      </c>
      <c r="O403" s="4">
        <v>2</v>
      </c>
      <c r="P403" s="4"/>
      <c r="Q403" s="4"/>
      <c r="R403" s="4"/>
      <c r="S403" s="4"/>
      <c r="T403" s="4"/>
      <c r="U403" s="4"/>
      <c r="V403" s="4"/>
      <c r="W403" s="4"/>
    </row>
    <row r="404" spans="1:23" x14ac:dyDescent="0.2">
      <c r="A404" s="4">
        <v>50</v>
      </c>
      <c r="B404" s="4">
        <v>0</v>
      </c>
      <c r="C404" s="4">
        <v>0</v>
      </c>
      <c r="D404" s="4">
        <v>1</v>
      </c>
      <c r="E404" s="4">
        <v>231</v>
      </c>
      <c r="F404" s="4">
        <f>ROUND(Source!BB387,O404)</f>
        <v>0</v>
      </c>
      <c r="G404" s="4" t="s">
        <v>77</v>
      </c>
      <c r="H404" s="4" t="s">
        <v>78</v>
      </c>
      <c r="I404" s="4"/>
      <c r="J404" s="4"/>
      <c r="K404" s="4">
        <v>-231</v>
      </c>
      <c r="L404" s="4">
        <v>16</v>
      </c>
      <c r="M404" s="4">
        <v>3</v>
      </c>
      <c r="N404" s="4" t="s">
        <v>3</v>
      </c>
      <c r="O404" s="4">
        <v>2</v>
      </c>
      <c r="P404" s="4"/>
      <c r="Q404" s="4"/>
      <c r="R404" s="4"/>
      <c r="S404" s="4"/>
      <c r="T404" s="4"/>
      <c r="U404" s="4"/>
      <c r="V404" s="4"/>
      <c r="W404" s="4"/>
    </row>
    <row r="405" spans="1:23" x14ac:dyDescent="0.2">
      <c r="A405" s="4">
        <v>50</v>
      </c>
      <c r="B405" s="4">
        <v>0</v>
      </c>
      <c r="C405" s="4">
        <v>0</v>
      </c>
      <c r="D405" s="4">
        <v>1</v>
      </c>
      <c r="E405" s="4">
        <v>204</v>
      </c>
      <c r="F405" s="4">
        <f>ROUND(Source!R387,O405)</f>
        <v>294937.12</v>
      </c>
      <c r="G405" s="4" t="s">
        <v>79</v>
      </c>
      <c r="H405" s="4" t="s">
        <v>80</v>
      </c>
      <c r="I405" s="4"/>
      <c r="J405" s="4"/>
      <c r="K405" s="4">
        <v>-204</v>
      </c>
      <c r="L405" s="4">
        <v>17</v>
      </c>
      <c r="M405" s="4">
        <v>3</v>
      </c>
      <c r="N405" s="4" t="s">
        <v>3</v>
      </c>
      <c r="O405" s="4">
        <v>2</v>
      </c>
      <c r="P405" s="4"/>
      <c r="Q405" s="4"/>
      <c r="R405" s="4"/>
      <c r="S405" s="4"/>
      <c r="T405" s="4"/>
      <c r="U405" s="4"/>
      <c r="V405" s="4"/>
      <c r="W405" s="4"/>
    </row>
    <row r="406" spans="1:23" x14ac:dyDescent="0.2">
      <c r="A406" s="4">
        <v>50</v>
      </c>
      <c r="B406" s="4">
        <v>0</v>
      </c>
      <c r="C406" s="4">
        <v>0</v>
      </c>
      <c r="D406" s="4">
        <v>1</v>
      </c>
      <c r="E406" s="4">
        <v>205</v>
      </c>
      <c r="F406" s="4">
        <f>ROUND(Source!S387,O406)</f>
        <v>200568.9</v>
      </c>
      <c r="G406" s="4" t="s">
        <v>81</v>
      </c>
      <c r="H406" s="4" t="s">
        <v>82</v>
      </c>
      <c r="I406" s="4"/>
      <c r="J406" s="4"/>
      <c r="K406" s="4">
        <v>-205</v>
      </c>
      <c r="L406" s="4">
        <v>18</v>
      </c>
      <c r="M406" s="4">
        <v>3</v>
      </c>
      <c r="N406" s="4" t="s">
        <v>3</v>
      </c>
      <c r="O406" s="4">
        <v>2</v>
      </c>
      <c r="P406" s="4"/>
      <c r="Q406" s="4"/>
      <c r="R406" s="4"/>
      <c r="S406" s="4"/>
      <c r="T406" s="4"/>
      <c r="U406" s="4"/>
      <c r="V406" s="4"/>
      <c r="W406" s="4"/>
    </row>
    <row r="407" spans="1:23" x14ac:dyDescent="0.2">
      <c r="A407" s="4">
        <v>50</v>
      </c>
      <c r="B407" s="4">
        <v>0</v>
      </c>
      <c r="C407" s="4">
        <v>0</v>
      </c>
      <c r="D407" s="4">
        <v>1</v>
      </c>
      <c r="E407" s="4">
        <v>232</v>
      </c>
      <c r="F407" s="4">
        <f>ROUND(Source!BC387,O407)</f>
        <v>0</v>
      </c>
      <c r="G407" s="4" t="s">
        <v>83</v>
      </c>
      <c r="H407" s="4" t="s">
        <v>84</v>
      </c>
      <c r="I407" s="4"/>
      <c r="J407" s="4"/>
      <c r="K407" s="4">
        <v>-232</v>
      </c>
      <c r="L407" s="4">
        <v>19</v>
      </c>
      <c r="M407" s="4">
        <v>3</v>
      </c>
      <c r="N407" s="4" t="s">
        <v>3</v>
      </c>
      <c r="O407" s="4">
        <v>2</v>
      </c>
      <c r="P407" s="4"/>
      <c r="Q407" s="4"/>
      <c r="R407" s="4"/>
      <c r="S407" s="4"/>
      <c r="T407" s="4"/>
      <c r="U407" s="4"/>
      <c r="V407" s="4"/>
      <c r="W407" s="4"/>
    </row>
    <row r="408" spans="1:23" x14ac:dyDescent="0.2">
      <c r="A408" s="4">
        <v>50</v>
      </c>
      <c r="B408" s="4">
        <v>0</v>
      </c>
      <c r="C408" s="4">
        <v>0</v>
      </c>
      <c r="D408" s="4">
        <v>1</v>
      </c>
      <c r="E408" s="4">
        <v>214</v>
      </c>
      <c r="F408" s="4">
        <f>ROUND(Source!AS387,O408)</f>
        <v>0</v>
      </c>
      <c r="G408" s="4" t="s">
        <v>85</v>
      </c>
      <c r="H408" s="4" t="s">
        <v>86</v>
      </c>
      <c r="I408" s="4"/>
      <c r="J408" s="4"/>
      <c r="K408" s="4">
        <v>-214</v>
      </c>
      <c r="L408" s="4">
        <v>20</v>
      </c>
      <c r="M408" s="4">
        <v>3</v>
      </c>
      <c r="N408" s="4" t="s">
        <v>3</v>
      </c>
      <c r="O408" s="4">
        <v>2</v>
      </c>
      <c r="P408" s="4"/>
      <c r="Q408" s="4"/>
      <c r="R408" s="4"/>
      <c r="S408" s="4"/>
      <c r="T408" s="4"/>
      <c r="U408" s="4"/>
      <c r="V408" s="4"/>
      <c r="W408" s="4"/>
    </row>
    <row r="409" spans="1:23" x14ac:dyDescent="0.2">
      <c r="A409" s="4">
        <v>50</v>
      </c>
      <c r="B409" s="4">
        <v>0</v>
      </c>
      <c r="C409" s="4">
        <v>0</v>
      </c>
      <c r="D409" s="4">
        <v>1</v>
      </c>
      <c r="E409" s="4">
        <v>215</v>
      </c>
      <c r="F409" s="4">
        <f>ROUND(Source!AT387,O409)</f>
        <v>0</v>
      </c>
      <c r="G409" s="4" t="s">
        <v>87</v>
      </c>
      <c r="H409" s="4" t="s">
        <v>88</v>
      </c>
      <c r="I409" s="4"/>
      <c r="J409" s="4"/>
      <c r="K409" s="4">
        <v>-215</v>
      </c>
      <c r="L409" s="4">
        <v>21</v>
      </c>
      <c r="M409" s="4">
        <v>3</v>
      </c>
      <c r="N409" s="4" t="s">
        <v>3</v>
      </c>
      <c r="O409" s="4">
        <v>2</v>
      </c>
      <c r="P409" s="4"/>
      <c r="Q409" s="4"/>
      <c r="R409" s="4"/>
      <c r="S409" s="4"/>
      <c r="T409" s="4"/>
      <c r="U409" s="4"/>
      <c r="V409" s="4"/>
      <c r="W409" s="4"/>
    </row>
    <row r="410" spans="1:23" x14ac:dyDescent="0.2">
      <c r="A410" s="4">
        <v>50</v>
      </c>
      <c r="B410" s="4">
        <v>0</v>
      </c>
      <c r="C410" s="4">
        <v>0</v>
      </c>
      <c r="D410" s="4">
        <v>1</v>
      </c>
      <c r="E410" s="4">
        <v>217</v>
      </c>
      <c r="F410" s="4">
        <f>ROUND(Source!AU387,O410)</f>
        <v>3370128.92</v>
      </c>
      <c r="G410" s="4" t="s">
        <v>89</v>
      </c>
      <c r="H410" s="4" t="s">
        <v>90</v>
      </c>
      <c r="I410" s="4"/>
      <c r="J410" s="4"/>
      <c r="K410" s="4">
        <v>-217</v>
      </c>
      <c r="L410" s="4">
        <v>22</v>
      </c>
      <c r="M410" s="4">
        <v>3</v>
      </c>
      <c r="N410" s="4" t="s">
        <v>3</v>
      </c>
      <c r="O410" s="4">
        <v>2</v>
      </c>
      <c r="P410" s="4"/>
      <c r="Q410" s="4"/>
      <c r="R410" s="4"/>
      <c r="S410" s="4"/>
      <c r="T410" s="4"/>
      <c r="U410" s="4"/>
      <c r="V410" s="4"/>
      <c r="W410" s="4"/>
    </row>
    <row r="411" spans="1:23" x14ac:dyDescent="0.2">
      <c r="A411" s="4">
        <v>50</v>
      </c>
      <c r="B411" s="4">
        <v>0</v>
      </c>
      <c r="C411" s="4">
        <v>0</v>
      </c>
      <c r="D411" s="4">
        <v>1</v>
      </c>
      <c r="E411" s="4">
        <v>230</v>
      </c>
      <c r="F411" s="4">
        <f>ROUND(Source!BA387,O411)</f>
        <v>0</v>
      </c>
      <c r="G411" s="4" t="s">
        <v>91</v>
      </c>
      <c r="H411" s="4" t="s">
        <v>92</v>
      </c>
      <c r="I411" s="4"/>
      <c r="J411" s="4"/>
      <c r="K411" s="4">
        <v>-230</v>
      </c>
      <c r="L411" s="4">
        <v>23</v>
      </c>
      <c r="M411" s="4">
        <v>3</v>
      </c>
      <c r="N411" s="4" t="s">
        <v>3</v>
      </c>
      <c r="O411" s="4">
        <v>2</v>
      </c>
      <c r="P411" s="4"/>
      <c r="Q411" s="4"/>
      <c r="R411" s="4"/>
      <c r="S411" s="4"/>
      <c r="T411" s="4"/>
      <c r="U411" s="4"/>
      <c r="V411" s="4"/>
      <c r="W411" s="4"/>
    </row>
    <row r="412" spans="1:23" x14ac:dyDescent="0.2">
      <c r="A412" s="4">
        <v>50</v>
      </c>
      <c r="B412" s="4">
        <v>0</v>
      </c>
      <c r="C412" s="4">
        <v>0</v>
      </c>
      <c r="D412" s="4">
        <v>1</v>
      </c>
      <c r="E412" s="4">
        <v>206</v>
      </c>
      <c r="F412" s="4">
        <f>ROUND(Source!T387,O412)</f>
        <v>0</v>
      </c>
      <c r="G412" s="4" t="s">
        <v>93</v>
      </c>
      <c r="H412" s="4" t="s">
        <v>94</v>
      </c>
      <c r="I412" s="4"/>
      <c r="J412" s="4"/>
      <c r="K412" s="4">
        <v>-206</v>
      </c>
      <c r="L412" s="4">
        <v>24</v>
      </c>
      <c r="M412" s="4">
        <v>3</v>
      </c>
      <c r="N412" s="4" t="s">
        <v>3</v>
      </c>
      <c r="O412" s="4">
        <v>2</v>
      </c>
      <c r="P412" s="4"/>
      <c r="Q412" s="4"/>
      <c r="R412" s="4"/>
      <c r="S412" s="4"/>
      <c r="T412" s="4"/>
      <c r="U412" s="4"/>
      <c r="V412" s="4"/>
      <c r="W412" s="4"/>
    </row>
    <row r="413" spans="1:23" x14ac:dyDescent="0.2">
      <c r="A413" s="4">
        <v>50</v>
      </c>
      <c r="B413" s="4">
        <v>0</v>
      </c>
      <c r="C413" s="4">
        <v>0</v>
      </c>
      <c r="D413" s="4">
        <v>1</v>
      </c>
      <c r="E413" s="4">
        <v>207</v>
      </c>
      <c r="F413" s="4">
        <f>Source!U387</f>
        <v>1150.568951</v>
      </c>
      <c r="G413" s="4" t="s">
        <v>95</v>
      </c>
      <c r="H413" s="4" t="s">
        <v>96</v>
      </c>
      <c r="I413" s="4"/>
      <c r="J413" s="4"/>
      <c r="K413" s="4">
        <v>-207</v>
      </c>
      <c r="L413" s="4">
        <v>25</v>
      </c>
      <c r="M413" s="4">
        <v>3</v>
      </c>
      <c r="N413" s="4" t="s">
        <v>3</v>
      </c>
      <c r="O413" s="4">
        <v>-1</v>
      </c>
      <c r="P413" s="4"/>
      <c r="Q413" s="4"/>
      <c r="R413" s="4"/>
      <c r="S413" s="4"/>
      <c r="T413" s="4"/>
      <c r="U413" s="4"/>
      <c r="V413" s="4"/>
      <c r="W413" s="4"/>
    </row>
    <row r="414" spans="1:23" x14ac:dyDescent="0.2">
      <c r="A414" s="4">
        <v>50</v>
      </c>
      <c r="B414" s="4">
        <v>0</v>
      </c>
      <c r="C414" s="4">
        <v>0</v>
      </c>
      <c r="D414" s="4">
        <v>1</v>
      </c>
      <c r="E414" s="4">
        <v>208</v>
      </c>
      <c r="F414" s="4">
        <f>Source!V387</f>
        <v>0</v>
      </c>
      <c r="G414" s="4" t="s">
        <v>97</v>
      </c>
      <c r="H414" s="4" t="s">
        <v>98</v>
      </c>
      <c r="I414" s="4"/>
      <c r="J414" s="4"/>
      <c r="K414" s="4">
        <v>-208</v>
      </c>
      <c r="L414" s="4">
        <v>26</v>
      </c>
      <c r="M414" s="4">
        <v>3</v>
      </c>
      <c r="N414" s="4" t="s">
        <v>3</v>
      </c>
      <c r="O414" s="4">
        <v>-1</v>
      </c>
      <c r="P414" s="4"/>
      <c r="Q414" s="4"/>
      <c r="R414" s="4"/>
      <c r="S414" s="4"/>
      <c r="T414" s="4"/>
      <c r="U414" s="4"/>
      <c r="V414" s="4"/>
      <c r="W414" s="4"/>
    </row>
    <row r="415" spans="1:23" x14ac:dyDescent="0.2">
      <c r="A415" s="4">
        <v>50</v>
      </c>
      <c r="B415" s="4">
        <v>0</v>
      </c>
      <c r="C415" s="4">
        <v>0</v>
      </c>
      <c r="D415" s="4">
        <v>1</v>
      </c>
      <c r="E415" s="4">
        <v>209</v>
      </c>
      <c r="F415" s="4">
        <f>ROUND(Source!W387,O415)</f>
        <v>0</v>
      </c>
      <c r="G415" s="4" t="s">
        <v>99</v>
      </c>
      <c r="H415" s="4" t="s">
        <v>100</v>
      </c>
      <c r="I415" s="4"/>
      <c r="J415" s="4"/>
      <c r="K415" s="4">
        <v>-209</v>
      </c>
      <c r="L415" s="4">
        <v>27</v>
      </c>
      <c r="M415" s="4">
        <v>3</v>
      </c>
      <c r="N415" s="4" t="s">
        <v>3</v>
      </c>
      <c r="O415" s="4">
        <v>2</v>
      </c>
      <c r="P415" s="4"/>
      <c r="Q415" s="4"/>
      <c r="R415" s="4"/>
      <c r="S415" s="4"/>
      <c r="T415" s="4"/>
      <c r="U415" s="4"/>
      <c r="V415" s="4"/>
      <c r="W415" s="4"/>
    </row>
    <row r="416" spans="1:23" x14ac:dyDescent="0.2">
      <c r="A416" s="4">
        <v>50</v>
      </c>
      <c r="B416" s="4">
        <v>0</v>
      </c>
      <c r="C416" s="4">
        <v>0</v>
      </c>
      <c r="D416" s="4">
        <v>1</v>
      </c>
      <c r="E416" s="4">
        <v>210</v>
      </c>
      <c r="F416" s="4">
        <f>ROUND(Source!X387,O416)</f>
        <v>140581.29999999999</v>
      </c>
      <c r="G416" s="4" t="s">
        <v>101</v>
      </c>
      <c r="H416" s="4" t="s">
        <v>102</v>
      </c>
      <c r="I416" s="4"/>
      <c r="J416" s="4"/>
      <c r="K416" s="4">
        <v>-210</v>
      </c>
      <c r="L416" s="4">
        <v>28</v>
      </c>
      <c r="M416" s="4">
        <v>3</v>
      </c>
      <c r="N416" s="4" t="s">
        <v>3</v>
      </c>
      <c r="O416" s="4">
        <v>2</v>
      </c>
      <c r="P416" s="4"/>
      <c r="Q416" s="4"/>
      <c r="R416" s="4"/>
      <c r="S416" s="4"/>
      <c r="T416" s="4"/>
      <c r="U416" s="4"/>
      <c r="V416" s="4"/>
      <c r="W416" s="4"/>
    </row>
    <row r="417" spans="1:206" x14ac:dyDescent="0.2">
      <c r="A417" s="4">
        <v>50</v>
      </c>
      <c r="B417" s="4">
        <v>0</v>
      </c>
      <c r="C417" s="4">
        <v>0</v>
      </c>
      <c r="D417" s="4">
        <v>1</v>
      </c>
      <c r="E417" s="4">
        <v>211</v>
      </c>
      <c r="F417" s="4">
        <f>ROUND(Source!Y387,O417)</f>
        <v>20056.91</v>
      </c>
      <c r="G417" s="4" t="s">
        <v>103</v>
      </c>
      <c r="H417" s="4" t="s">
        <v>104</v>
      </c>
      <c r="I417" s="4"/>
      <c r="J417" s="4"/>
      <c r="K417" s="4">
        <v>-211</v>
      </c>
      <c r="L417" s="4">
        <v>29</v>
      </c>
      <c r="M417" s="4">
        <v>3</v>
      </c>
      <c r="N417" s="4" t="s">
        <v>3</v>
      </c>
      <c r="O417" s="4">
        <v>2</v>
      </c>
      <c r="P417" s="4"/>
      <c r="Q417" s="4"/>
      <c r="R417" s="4"/>
      <c r="S417" s="4"/>
      <c r="T417" s="4"/>
      <c r="U417" s="4"/>
      <c r="V417" s="4"/>
      <c r="W417" s="4"/>
    </row>
    <row r="418" spans="1:206" x14ac:dyDescent="0.2">
      <c r="A418" s="4">
        <v>50</v>
      </c>
      <c r="B418" s="4">
        <v>0</v>
      </c>
      <c r="C418" s="4">
        <v>0</v>
      </c>
      <c r="D418" s="4">
        <v>1</v>
      </c>
      <c r="E418" s="4">
        <v>224</v>
      </c>
      <c r="F418" s="4">
        <f>ROUND(Source!AR387,O418)</f>
        <v>3370128.92</v>
      </c>
      <c r="G418" s="4" t="s">
        <v>105</v>
      </c>
      <c r="H418" s="4" t="s">
        <v>106</v>
      </c>
      <c r="I418" s="4"/>
      <c r="J418" s="4"/>
      <c r="K418" s="4">
        <v>-224</v>
      </c>
      <c r="L418" s="4">
        <v>30</v>
      </c>
      <c r="M418" s="4">
        <v>3</v>
      </c>
      <c r="N418" s="4" t="s">
        <v>3</v>
      </c>
      <c r="O418" s="4">
        <v>2</v>
      </c>
      <c r="P418" s="4"/>
      <c r="Q418" s="4"/>
      <c r="R418" s="4"/>
      <c r="S418" s="4"/>
      <c r="T418" s="4"/>
      <c r="U418" s="4"/>
      <c r="V418" s="4"/>
      <c r="W418" s="4"/>
    </row>
    <row r="420" spans="1:206" x14ac:dyDescent="0.2">
      <c r="A420" s="2">
        <v>51</v>
      </c>
      <c r="B420" s="2">
        <f>B12</f>
        <v>452</v>
      </c>
      <c r="C420" s="2">
        <f>A12</f>
        <v>1</v>
      </c>
      <c r="D420" s="2">
        <f>ROW(A12)</f>
        <v>12</v>
      </c>
      <c r="E420" s="2"/>
      <c r="F420" s="2" t="str">
        <f>IF(F12&lt;&gt;"",F12,"")</f>
        <v>Новый объект</v>
      </c>
      <c r="G420" s="2" t="str">
        <f>IF(G12&lt;&gt;"",G12,"")</f>
        <v>ул. Олений Вал, д. 22Б, ГБОУ №1860 (а/б) на аукцион</v>
      </c>
      <c r="H420" s="2">
        <v>0</v>
      </c>
      <c r="I420" s="2"/>
      <c r="J420" s="2"/>
      <c r="K420" s="2"/>
      <c r="L420" s="2"/>
      <c r="M420" s="2"/>
      <c r="N420" s="2"/>
      <c r="O420" s="2">
        <f t="shared" ref="O420:T420" si="299">ROUND(O387,2)</f>
        <v>3099421</v>
      </c>
      <c r="P420" s="2">
        <f t="shared" si="299"/>
        <v>2420023.54</v>
      </c>
      <c r="Q420" s="2">
        <f t="shared" si="299"/>
        <v>478828.56</v>
      </c>
      <c r="R420" s="2">
        <f t="shared" si="299"/>
        <v>294937.12</v>
      </c>
      <c r="S420" s="2">
        <f t="shared" si="299"/>
        <v>200568.9</v>
      </c>
      <c r="T420" s="2">
        <f t="shared" si="299"/>
        <v>0</v>
      </c>
      <c r="U420" s="2">
        <f>U387</f>
        <v>1150.568951</v>
      </c>
      <c r="V420" s="2">
        <f>V387</f>
        <v>0</v>
      </c>
      <c r="W420" s="2">
        <f>ROUND(W387,2)</f>
        <v>0</v>
      </c>
      <c r="X420" s="2">
        <f>ROUND(X387,2)</f>
        <v>140581.29999999999</v>
      </c>
      <c r="Y420" s="2">
        <f>ROUND(Y387,2)</f>
        <v>20056.91</v>
      </c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>
        <f t="shared" ref="AO420:BC420" si="300">ROUND(AO387,2)</f>
        <v>0</v>
      </c>
      <c r="AP420" s="2">
        <f t="shared" si="300"/>
        <v>0</v>
      </c>
      <c r="AQ420" s="2">
        <f t="shared" si="300"/>
        <v>0</v>
      </c>
      <c r="AR420" s="2">
        <f t="shared" si="300"/>
        <v>3370128.92</v>
      </c>
      <c r="AS420" s="2">
        <f t="shared" si="300"/>
        <v>0</v>
      </c>
      <c r="AT420" s="2">
        <f t="shared" si="300"/>
        <v>0</v>
      </c>
      <c r="AU420" s="2">
        <f t="shared" si="300"/>
        <v>3370128.92</v>
      </c>
      <c r="AV420" s="2">
        <f t="shared" si="300"/>
        <v>2420023.54</v>
      </c>
      <c r="AW420" s="2">
        <f t="shared" si="300"/>
        <v>2420023.54</v>
      </c>
      <c r="AX420" s="2">
        <f t="shared" si="300"/>
        <v>0</v>
      </c>
      <c r="AY420" s="2">
        <f t="shared" si="300"/>
        <v>2420023.54</v>
      </c>
      <c r="AZ420" s="2">
        <f t="shared" si="300"/>
        <v>0</v>
      </c>
      <c r="BA420" s="2">
        <f t="shared" si="300"/>
        <v>0</v>
      </c>
      <c r="BB420" s="2">
        <f t="shared" si="300"/>
        <v>0</v>
      </c>
      <c r="BC420" s="2">
        <f t="shared" si="300"/>
        <v>0</v>
      </c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>
        <v>0</v>
      </c>
    </row>
    <row r="422" spans="1:206" x14ac:dyDescent="0.2">
      <c r="A422" s="4">
        <v>50</v>
      </c>
      <c r="B422" s="4">
        <v>0</v>
      </c>
      <c r="C422" s="4">
        <v>0</v>
      </c>
      <c r="D422" s="4">
        <v>1</v>
      </c>
      <c r="E422" s="4">
        <v>201</v>
      </c>
      <c r="F422" s="4">
        <f>ROUND(Source!O420,O422)</f>
        <v>3099421</v>
      </c>
      <c r="G422" s="4" t="s">
        <v>55</v>
      </c>
      <c r="H422" s="4" t="s">
        <v>56</v>
      </c>
      <c r="I422" s="4"/>
      <c r="J422" s="4"/>
      <c r="K422" s="4">
        <v>201</v>
      </c>
      <c r="L422" s="4">
        <v>1</v>
      </c>
      <c r="M422" s="4">
        <v>3</v>
      </c>
      <c r="N422" s="4" t="s">
        <v>3</v>
      </c>
      <c r="O422" s="4">
        <v>2</v>
      </c>
      <c r="P422" s="4"/>
      <c r="Q422" s="4"/>
      <c r="R422" s="4"/>
      <c r="S422" s="4"/>
      <c r="T422" s="4"/>
      <c r="U422" s="4"/>
      <c r="V422" s="4"/>
      <c r="W422" s="4"/>
    </row>
    <row r="423" spans="1:206" x14ac:dyDescent="0.2">
      <c r="A423" s="4">
        <v>50</v>
      </c>
      <c r="B423" s="4">
        <v>0</v>
      </c>
      <c r="C423" s="4">
        <v>0</v>
      </c>
      <c r="D423" s="4">
        <v>1</v>
      </c>
      <c r="E423" s="4">
        <v>202</v>
      </c>
      <c r="F423" s="4">
        <f>ROUND(Source!P420,O423)</f>
        <v>2420023.54</v>
      </c>
      <c r="G423" s="4" t="s">
        <v>57</v>
      </c>
      <c r="H423" s="4" t="s">
        <v>58</v>
      </c>
      <c r="I423" s="4"/>
      <c r="J423" s="4"/>
      <c r="K423" s="4">
        <v>202</v>
      </c>
      <c r="L423" s="4">
        <v>2</v>
      </c>
      <c r="M423" s="4">
        <v>3</v>
      </c>
      <c r="N423" s="4" t="s">
        <v>3</v>
      </c>
      <c r="O423" s="4">
        <v>2</v>
      </c>
      <c r="P423" s="4"/>
      <c r="Q423" s="4"/>
      <c r="R423" s="4"/>
      <c r="S423" s="4"/>
      <c r="T423" s="4"/>
      <c r="U423" s="4"/>
      <c r="V423" s="4"/>
      <c r="W423" s="4"/>
    </row>
    <row r="424" spans="1:206" x14ac:dyDescent="0.2">
      <c r="A424" s="4">
        <v>50</v>
      </c>
      <c r="B424" s="4">
        <v>0</v>
      </c>
      <c r="C424" s="4">
        <v>0</v>
      </c>
      <c r="D424" s="4">
        <v>1</v>
      </c>
      <c r="E424" s="4">
        <v>222</v>
      </c>
      <c r="F424" s="4">
        <f>ROUND(Source!AO420,O424)</f>
        <v>0</v>
      </c>
      <c r="G424" s="4" t="s">
        <v>59</v>
      </c>
      <c r="H424" s="4" t="s">
        <v>60</v>
      </c>
      <c r="I424" s="4"/>
      <c r="J424" s="4"/>
      <c r="K424" s="4">
        <v>222</v>
      </c>
      <c r="L424" s="4">
        <v>3</v>
      </c>
      <c r="M424" s="4">
        <v>3</v>
      </c>
      <c r="N424" s="4" t="s">
        <v>3</v>
      </c>
      <c r="O424" s="4">
        <v>2</v>
      </c>
      <c r="P424" s="4"/>
      <c r="Q424" s="4"/>
      <c r="R424" s="4"/>
      <c r="S424" s="4"/>
      <c r="T424" s="4"/>
      <c r="U424" s="4"/>
      <c r="V424" s="4"/>
      <c r="W424" s="4"/>
    </row>
    <row r="425" spans="1:206" x14ac:dyDescent="0.2">
      <c r="A425" s="4">
        <v>50</v>
      </c>
      <c r="B425" s="4">
        <v>0</v>
      </c>
      <c r="C425" s="4">
        <v>0</v>
      </c>
      <c r="D425" s="4">
        <v>1</v>
      </c>
      <c r="E425" s="4">
        <v>225</v>
      </c>
      <c r="F425" s="4">
        <f>ROUND(Source!AV420,O425)</f>
        <v>2420023.54</v>
      </c>
      <c r="G425" s="4" t="s">
        <v>61</v>
      </c>
      <c r="H425" s="4" t="s">
        <v>62</v>
      </c>
      <c r="I425" s="4"/>
      <c r="J425" s="4"/>
      <c r="K425" s="4">
        <v>225</v>
      </c>
      <c r="L425" s="4">
        <v>4</v>
      </c>
      <c r="M425" s="4">
        <v>3</v>
      </c>
      <c r="N425" s="4" t="s">
        <v>3</v>
      </c>
      <c r="O425" s="4">
        <v>2</v>
      </c>
      <c r="P425" s="4"/>
      <c r="Q425" s="4"/>
      <c r="R425" s="4"/>
      <c r="S425" s="4"/>
      <c r="T425" s="4"/>
      <c r="U425" s="4"/>
      <c r="V425" s="4"/>
      <c r="W425" s="4"/>
    </row>
    <row r="426" spans="1:206" x14ac:dyDescent="0.2">
      <c r="A426" s="4">
        <v>50</v>
      </c>
      <c r="B426" s="4">
        <v>0</v>
      </c>
      <c r="C426" s="4">
        <v>0</v>
      </c>
      <c r="D426" s="4">
        <v>1</v>
      </c>
      <c r="E426" s="4">
        <v>226</v>
      </c>
      <c r="F426" s="4">
        <f>ROUND(Source!AW420,O426)</f>
        <v>2420023.54</v>
      </c>
      <c r="G426" s="4" t="s">
        <v>63</v>
      </c>
      <c r="H426" s="4" t="s">
        <v>64</v>
      </c>
      <c r="I426" s="4"/>
      <c r="J426" s="4"/>
      <c r="K426" s="4">
        <v>226</v>
      </c>
      <c r="L426" s="4">
        <v>5</v>
      </c>
      <c r="M426" s="4">
        <v>3</v>
      </c>
      <c r="N426" s="4" t="s">
        <v>3</v>
      </c>
      <c r="O426" s="4">
        <v>2</v>
      </c>
      <c r="P426" s="4"/>
      <c r="Q426" s="4"/>
      <c r="R426" s="4"/>
      <c r="S426" s="4"/>
      <c r="T426" s="4"/>
      <c r="U426" s="4"/>
      <c r="V426" s="4"/>
      <c r="W426" s="4"/>
    </row>
    <row r="427" spans="1:206" x14ac:dyDescent="0.2">
      <c r="A427" s="4">
        <v>50</v>
      </c>
      <c r="B427" s="4">
        <v>0</v>
      </c>
      <c r="C427" s="4">
        <v>0</v>
      </c>
      <c r="D427" s="4">
        <v>1</v>
      </c>
      <c r="E427" s="4">
        <v>227</v>
      </c>
      <c r="F427" s="4">
        <f>ROUND(Source!AX420,O427)</f>
        <v>0</v>
      </c>
      <c r="G427" s="4" t="s">
        <v>65</v>
      </c>
      <c r="H427" s="4" t="s">
        <v>66</v>
      </c>
      <c r="I427" s="4"/>
      <c r="J427" s="4"/>
      <c r="K427" s="4">
        <v>227</v>
      </c>
      <c r="L427" s="4">
        <v>6</v>
      </c>
      <c r="M427" s="4">
        <v>3</v>
      </c>
      <c r="N427" s="4" t="s">
        <v>3</v>
      </c>
      <c r="O427" s="4">
        <v>2</v>
      </c>
      <c r="P427" s="4"/>
      <c r="Q427" s="4"/>
      <c r="R427" s="4"/>
      <c r="S427" s="4"/>
      <c r="T427" s="4"/>
      <c r="U427" s="4"/>
      <c r="V427" s="4"/>
      <c r="W427" s="4"/>
    </row>
    <row r="428" spans="1:206" x14ac:dyDescent="0.2">
      <c r="A428" s="4">
        <v>50</v>
      </c>
      <c r="B428" s="4">
        <v>0</v>
      </c>
      <c r="C428" s="4">
        <v>0</v>
      </c>
      <c r="D428" s="4">
        <v>1</v>
      </c>
      <c r="E428" s="4">
        <v>228</v>
      </c>
      <c r="F428" s="4">
        <f>ROUND(Source!AY420,O428)</f>
        <v>2420023.54</v>
      </c>
      <c r="G428" s="4" t="s">
        <v>67</v>
      </c>
      <c r="H428" s="4" t="s">
        <v>68</v>
      </c>
      <c r="I428" s="4"/>
      <c r="J428" s="4"/>
      <c r="K428" s="4">
        <v>228</v>
      </c>
      <c r="L428" s="4">
        <v>7</v>
      </c>
      <c r="M428" s="4">
        <v>3</v>
      </c>
      <c r="N428" s="4" t="s">
        <v>3</v>
      </c>
      <c r="O428" s="4">
        <v>2</v>
      </c>
      <c r="P428" s="4"/>
      <c r="Q428" s="4"/>
      <c r="R428" s="4"/>
      <c r="S428" s="4"/>
      <c r="T428" s="4"/>
      <c r="U428" s="4"/>
      <c r="V428" s="4"/>
      <c r="W428" s="4"/>
    </row>
    <row r="429" spans="1:206" x14ac:dyDescent="0.2">
      <c r="A429" s="4">
        <v>50</v>
      </c>
      <c r="B429" s="4">
        <v>0</v>
      </c>
      <c r="C429" s="4">
        <v>0</v>
      </c>
      <c r="D429" s="4">
        <v>1</v>
      </c>
      <c r="E429" s="4">
        <v>216</v>
      </c>
      <c r="F429" s="4">
        <f>ROUND(Source!AP420,O429)</f>
        <v>0</v>
      </c>
      <c r="G429" s="4" t="s">
        <v>69</v>
      </c>
      <c r="H429" s="4" t="s">
        <v>70</v>
      </c>
      <c r="I429" s="4"/>
      <c r="J429" s="4"/>
      <c r="K429" s="4">
        <v>216</v>
      </c>
      <c r="L429" s="4">
        <v>8</v>
      </c>
      <c r="M429" s="4">
        <v>3</v>
      </c>
      <c r="N429" s="4" t="s">
        <v>3</v>
      </c>
      <c r="O429" s="4">
        <v>2</v>
      </c>
      <c r="P429" s="4"/>
      <c r="Q429" s="4"/>
      <c r="R429" s="4"/>
      <c r="S429" s="4"/>
      <c r="T429" s="4"/>
      <c r="U429" s="4"/>
      <c r="V429" s="4"/>
      <c r="W429" s="4"/>
    </row>
    <row r="430" spans="1:206" x14ac:dyDescent="0.2">
      <c r="A430" s="4">
        <v>50</v>
      </c>
      <c r="B430" s="4">
        <v>0</v>
      </c>
      <c r="C430" s="4">
        <v>0</v>
      </c>
      <c r="D430" s="4">
        <v>1</v>
      </c>
      <c r="E430" s="4">
        <v>223</v>
      </c>
      <c r="F430" s="4">
        <f>ROUND(Source!AQ420,O430)</f>
        <v>0</v>
      </c>
      <c r="G430" s="4" t="s">
        <v>71</v>
      </c>
      <c r="H430" s="4" t="s">
        <v>72</v>
      </c>
      <c r="I430" s="4"/>
      <c r="J430" s="4"/>
      <c r="K430" s="4">
        <v>223</v>
      </c>
      <c r="L430" s="4">
        <v>9</v>
      </c>
      <c r="M430" s="4">
        <v>3</v>
      </c>
      <c r="N430" s="4" t="s">
        <v>3</v>
      </c>
      <c r="O430" s="4">
        <v>2</v>
      </c>
      <c r="P430" s="4"/>
      <c r="Q430" s="4"/>
      <c r="R430" s="4"/>
      <c r="S430" s="4"/>
      <c r="T430" s="4"/>
      <c r="U430" s="4"/>
      <c r="V430" s="4"/>
      <c r="W430" s="4"/>
    </row>
    <row r="431" spans="1:206" x14ac:dyDescent="0.2">
      <c r="A431" s="4">
        <v>50</v>
      </c>
      <c r="B431" s="4">
        <v>0</v>
      </c>
      <c r="C431" s="4">
        <v>0</v>
      </c>
      <c r="D431" s="4">
        <v>1</v>
      </c>
      <c r="E431" s="4">
        <v>229</v>
      </c>
      <c r="F431" s="4">
        <f>ROUND(Source!AZ420,O431)</f>
        <v>0</v>
      </c>
      <c r="G431" s="4" t="s">
        <v>73</v>
      </c>
      <c r="H431" s="4" t="s">
        <v>74</v>
      </c>
      <c r="I431" s="4"/>
      <c r="J431" s="4"/>
      <c r="K431" s="4">
        <v>229</v>
      </c>
      <c r="L431" s="4">
        <v>10</v>
      </c>
      <c r="M431" s="4">
        <v>3</v>
      </c>
      <c r="N431" s="4" t="s">
        <v>3</v>
      </c>
      <c r="O431" s="4">
        <v>2</v>
      </c>
      <c r="P431" s="4"/>
      <c r="Q431" s="4"/>
      <c r="R431" s="4"/>
      <c r="S431" s="4"/>
      <c r="T431" s="4"/>
      <c r="U431" s="4"/>
      <c r="V431" s="4"/>
      <c r="W431" s="4"/>
    </row>
    <row r="432" spans="1:206" x14ac:dyDescent="0.2">
      <c r="A432" s="4">
        <v>50</v>
      </c>
      <c r="B432" s="4">
        <v>0</v>
      </c>
      <c r="C432" s="4">
        <v>0</v>
      </c>
      <c r="D432" s="4">
        <v>1</v>
      </c>
      <c r="E432" s="4">
        <v>203</v>
      </c>
      <c r="F432" s="4">
        <f>ROUND(Source!Q420,O432)</f>
        <v>478828.56</v>
      </c>
      <c r="G432" s="4" t="s">
        <v>75</v>
      </c>
      <c r="H432" s="4" t="s">
        <v>76</v>
      </c>
      <c r="I432" s="4"/>
      <c r="J432" s="4"/>
      <c r="K432" s="4">
        <v>203</v>
      </c>
      <c r="L432" s="4">
        <v>11</v>
      </c>
      <c r="M432" s="4">
        <v>3</v>
      </c>
      <c r="N432" s="4" t="s">
        <v>3</v>
      </c>
      <c r="O432" s="4">
        <v>2</v>
      </c>
      <c r="P432" s="4"/>
      <c r="Q432" s="4"/>
      <c r="R432" s="4"/>
      <c r="S432" s="4"/>
      <c r="T432" s="4"/>
      <c r="U432" s="4"/>
      <c r="V432" s="4"/>
      <c r="W432" s="4"/>
    </row>
    <row r="433" spans="1:23" x14ac:dyDescent="0.2">
      <c r="A433" s="4">
        <v>50</v>
      </c>
      <c r="B433" s="4">
        <v>0</v>
      </c>
      <c r="C433" s="4">
        <v>0</v>
      </c>
      <c r="D433" s="4">
        <v>1</v>
      </c>
      <c r="E433" s="4">
        <v>231</v>
      </c>
      <c r="F433" s="4">
        <f>ROUND(Source!BB420,O433)</f>
        <v>0</v>
      </c>
      <c r="G433" s="4" t="s">
        <v>77</v>
      </c>
      <c r="H433" s="4" t="s">
        <v>78</v>
      </c>
      <c r="I433" s="4"/>
      <c r="J433" s="4"/>
      <c r="K433" s="4">
        <v>231</v>
      </c>
      <c r="L433" s="4">
        <v>12</v>
      </c>
      <c r="M433" s="4">
        <v>3</v>
      </c>
      <c r="N433" s="4" t="s">
        <v>3</v>
      </c>
      <c r="O433" s="4">
        <v>2</v>
      </c>
      <c r="P433" s="4"/>
      <c r="Q433" s="4"/>
      <c r="R433" s="4"/>
      <c r="S433" s="4"/>
      <c r="T433" s="4"/>
      <c r="U433" s="4"/>
      <c r="V433" s="4"/>
      <c r="W433" s="4"/>
    </row>
    <row r="434" spans="1:23" x14ac:dyDescent="0.2">
      <c r="A434" s="4">
        <v>50</v>
      </c>
      <c r="B434" s="4">
        <v>0</v>
      </c>
      <c r="C434" s="4">
        <v>0</v>
      </c>
      <c r="D434" s="4">
        <v>1</v>
      </c>
      <c r="E434" s="4">
        <v>204</v>
      </c>
      <c r="F434" s="4">
        <f>ROUND(Source!R420,O434)</f>
        <v>294937.12</v>
      </c>
      <c r="G434" s="4" t="s">
        <v>79</v>
      </c>
      <c r="H434" s="4" t="s">
        <v>80</v>
      </c>
      <c r="I434" s="4"/>
      <c r="J434" s="4"/>
      <c r="K434" s="4">
        <v>204</v>
      </c>
      <c r="L434" s="4">
        <v>13</v>
      </c>
      <c r="M434" s="4">
        <v>3</v>
      </c>
      <c r="N434" s="4" t="s">
        <v>3</v>
      </c>
      <c r="O434" s="4">
        <v>2</v>
      </c>
      <c r="P434" s="4"/>
      <c r="Q434" s="4"/>
      <c r="R434" s="4"/>
      <c r="S434" s="4"/>
      <c r="T434" s="4"/>
      <c r="U434" s="4"/>
      <c r="V434" s="4"/>
      <c r="W434" s="4"/>
    </row>
    <row r="435" spans="1:23" x14ac:dyDescent="0.2">
      <c r="A435" s="4">
        <v>50</v>
      </c>
      <c r="B435" s="4">
        <v>0</v>
      </c>
      <c r="C435" s="4">
        <v>0</v>
      </c>
      <c r="D435" s="4">
        <v>1</v>
      </c>
      <c r="E435" s="4">
        <v>205</v>
      </c>
      <c r="F435" s="4">
        <f>ROUND(Source!S420,O435)</f>
        <v>200568.9</v>
      </c>
      <c r="G435" s="4" t="s">
        <v>81</v>
      </c>
      <c r="H435" s="4" t="s">
        <v>82</v>
      </c>
      <c r="I435" s="4"/>
      <c r="J435" s="4"/>
      <c r="K435" s="4">
        <v>205</v>
      </c>
      <c r="L435" s="4">
        <v>14</v>
      </c>
      <c r="M435" s="4">
        <v>3</v>
      </c>
      <c r="N435" s="4" t="s">
        <v>3</v>
      </c>
      <c r="O435" s="4">
        <v>2</v>
      </c>
      <c r="P435" s="4"/>
      <c r="Q435" s="4"/>
      <c r="R435" s="4"/>
      <c r="S435" s="4"/>
      <c r="T435" s="4"/>
      <c r="U435" s="4"/>
      <c r="V435" s="4"/>
      <c r="W435" s="4"/>
    </row>
    <row r="436" spans="1:23" x14ac:dyDescent="0.2">
      <c r="A436" s="4">
        <v>50</v>
      </c>
      <c r="B436" s="4">
        <v>0</v>
      </c>
      <c r="C436" s="4">
        <v>0</v>
      </c>
      <c r="D436" s="4">
        <v>1</v>
      </c>
      <c r="E436" s="4">
        <v>232</v>
      </c>
      <c r="F436" s="4">
        <f>ROUND(Source!BC420,O436)</f>
        <v>0</v>
      </c>
      <c r="G436" s="4" t="s">
        <v>83</v>
      </c>
      <c r="H436" s="4" t="s">
        <v>84</v>
      </c>
      <c r="I436" s="4"/>
      <c r="J436" s="4"/>
      <c r="K436" s="4">
        <v>232</v>
      </c>
      <c r="L436" s="4">
        <v>15</v>
      </c>
      <c r="M436" s="4">
        <v>3</v>
      </c>
      <c r="N436" s="4" t="s">
        <v>3</v>
      </c>
      <c r="O436" s="4">
        <v>2</v>
      </c>
      <c r="P436" s="4"/>
      <c r="Q436" s="4"/>
      <c r="R436" s="4"/>
      <c r="S436" s="4"/>
      <c r="T436" s="4"/>
      <c r="U436" s="4"/>
      <c r="V436" s="4"/>
      <c r="W436" s="4"/>
    </row>
    <row r="437" spans="1:23" x14ac:dyDescent="0.2">
      <c r="A437" s="4">
        <v>50</v>
      </c>
      <c r="B437" s="4">
        <v>0</v>
      </c>
      <c r="C437" s="4">
        <v>0</v>
      </c>
      <c r="D437" s="4">
        <v>1</v>
      </c>
      <c r="E437" s="4">
        <v>214</v>
      </c>
      <c r="F437" s="4">
        <f>ROUND(Source!AS420,O437)</f>
        <v>0</v>
      </c>
      <c r="G437" s="4" t="s">
        <v>85</v>
      </c>
      <c r="H437" s="4" t="s">
        <v>86</v>
      </c>
      <c r="I437" s="4"/>
      <c r="J437" s="4"/>
      <c r="K437" s="4">
        <v>214</v>
      </c>
      <c r="L437" s="4">
        <v>16</v>
      </c>
      <c r="M437" s="4">
        <v>3</v>
      </c>
      <c r="N437" s="4" t="s">
        <v>3</v>
      </c>
      <c r="O437" s="4">
        <v>2</v>
      </c>
      <c r="P437" s="4"/>
      <c r="Q437" s="4"/>
      <c r="R437" s="4"/>
      <c r="S437" s="4"/>
      <c r="T437" s="4"/>
      <c r="U437" s="4"/>
      <c r="V437" s="4"/>
      <c r="W437" s="4"/>
    </row>
    <row r="438" spans="1:23" x14ac:dyDescent="0.2">
      <c r="A438" s="4">
        <v>50</v>
      </c>
      <c r="B438" s="4">
        <v>0</v>
      </c>
      <c r="C438" s="4">
        <v>0</v>
      </c>
      <c r="D438" s="4">
        <v>1</v>
      </c>
      <c r="E438" s="4">
        <v>215</v>
      </c>
      <c r="F438" s="4">
        <f>ROUND(Source!AT420,O438)</f>
        <v>0</v>
      </c>
      <c r="G438" s="4" t="s">
        <v>87</v>
      </c>
      <c r="H438" s="4" t="s">
        <v>88</v>
      </c>
      <c r="I438" s="4"/>
      <c r="J438" s="4"/>
      <c r="K438" s="4">
        <v>215</v>
      </c>
      <c r="L438" s="4">
        <v>17</v>
      </c>
      <c r="M438" s="4">
        <v>3</v>
      </c>
      <c r="N438" s="4" t="s">
        <v>3</v>
      </c>
      <c r="O438" s="4">
        <v>2</v>
      </c>
      <c r="P438" s="4"/>
      <c r="Q438" s="4"/>
      <c r="R438" s="4"/>
      <c r="S438" s="4"/>
      <c r="T438" s="4"/>
      <c r="U438" s="4"/>
      <c r="V438" s="4"/>
      <c r="W438" s="4"/>
    </row>
    <row r="439" spans="1:23" x14ac:dyDescent="0.2">
      <c r="A439" s="4">
        <v>50</v>
      </c>
      <c r="B439" s="4">
        <v>0</v>
      </c>
      <c r="C439" s="4">
        <v>0</v>
      </c>
      <c r="D439" s="4">
        <v>1</v>
      </c>
      <c r="E439" s="4">
        <v>217</v>
      </c>
      <c r="F439" s="4">
        <f>ROUND(Source!AU420,O439)</f>
        <v>3370128.92</v>
      </c>
      <c r="G439" s="4" t="s">
        <v>89</v>
      </c>
      <c r="H439" s="4" t="s">
        <v>90</v>
      </c>
      <c r="I439" s="4"/>
      <c r="J439" s="4"/>
      <c r="K439" s="4">
        <v>217</v>
      </c>
      <c r="L439" s="4">
        <v>18</v>
      </c>
      <c r="M439" s="4">
        <v>3</v>
      </c>
      <c r="N439" s="4" t="s">
        <v>3</v>
      </c>
      <c r="O439" s="4">
        <v>2</v>
      </c>
      <c r="P439" s="4"/>
      <c r="Q439" s="4"/>
      <c r="R439" s="4"/>
      <c r="S439" s="4"/>
      <c r="T439" s="4"/>
      <c r="U439" s="4"/>
      <c r="V439" s="4"/>
      <c r="W439" s="4"/>
    </row>
    <row r="440" spans="1:23" x14ac:dyDescent="0.2">
      <c r="A440" s="4">
        <v>50</v>
      </c>
      <c r="B440" s="4">
        <v>0</v>
      </c>
      <c r="C440" s="4">
        <v>0</v>
      </c>
      <c r="D440" s="4">
        <v>1</v>
      </c>
      <c r="E440" s="4">
        <v>230</v>
      </c>
      <c r="F440" s="4">
        <f>ROUND(Source!BA420,O440)</f>
        <v>0</v>
      </c>
      <c r="G440" s="4" t="s">
        <v>91</v>
      </c>
      <c r="H440" s="4" t="s">
        <v>92</v>
      </c>
      <c r="I440" s="4"/>
      <c r="J440" s="4"/>
      <c r="K440" s="4">
        <v>230</v>
      </c>
      <c r="L440" s="4">
        <v>19</v>
      </c>
      <c r="M440" s="4">
        <v>3</v>
      </c>
      <c r="N440" s="4" t="s">
        <v>3</v>
      </c>
      <c r="O440" s="4">
        <v>2</v>
      </c>
      <c r="P440" s="4"/>
      <c r="Q440" s="4"/>
      <c r="R440" s="4"/>
      <c r="S440" s="4"/>
      <c r="T440" s="4"/>
      <c r="U440" s="4"/>
      <c r="V440" s="4"/>
      <c r="W440" s="4"/>
    </row>
    <row r="441" spans="1:23" x14ac:dyDescent="0.2">
      <c r="A441" s="4">
        <v>50</v>
      </c>
      <c r="B441" s="4">
        <v>0</v>
      </c>
      <c r="C441" s="4">
        <v>0</v>
      </c>
      <c r="D441" s="4">
        <v>1</v>
      </c>
      <c r="E441" s="4">
        <v>206</v>
      </c>
      <c r="F441" s="4">
        <f>ROUND(Source!T420,O441)</f>
        <v>0</v>
      </c>
      <c r="G441" s="4" t="s">
        <v>93</v>
      </c>
      <c r="H441" s="4" t="s">
        <v>94</v>
      </c>
      <c r="I441" s="4"/>
      <c r="J441" s="4"/>
      <c r="K441" s="4">
        <v>206</v>
      </c>
      <c r="L441" s="4">
        <v>20</v>
      </c>
      <c r="M441" s="4">
        <v>3</v>
      </c>
      <c r="N441" s="4" t="s">
        <v>3</v>
      </c>
      <c r="O441" s="4">
        <v>2</v>
      </c>
      <c r="P441" s="4"/>
      <c r="Q441" s="4"/>
      <c r="R441" s="4"/>
      <c r="S441" s="4"/>
      <c r="T441" s="4"/>
      <c r="U441" s="4"/>
      <c r="V441" s="4"/>
      <c r="W441" s="4"/>
    </row>
    <row r="442" spans="1:23" x14ac:dyDescent="0.2">
      <c r="A442" s="4">
        <v>50</v>
      </c>
      <c r="B442" s="4">
        <v>0</v>
      </c>
      <c r="C442" s="4">
        <v>0</v>
      </c>
      <c r="D442" s="4">
        <v>1</v>
      </c>
      <c r="E442" s="4">
        <v>207</v>
      </c>
      <c r="F442" s="4">
        <f>Source!U420</f>
        <v>1150.568951</v>
      </c>
      <c r="G442" s="4" t="s">
        <v>95</v>
      </c>
      <c r="H442" s="4" t="s">
        <v>96</v>
      </c>
      <c r="I442" s="4"/>
      <c r="J442" s="4"/>
      <c r="K442" s="4">
        <v>207</v>
      </c>
      <c r="L442" s="4">
        <v>21</v>
      </c>
      <c r="M442" s="4">
        <v>3</v>
      </c>
      <c r="N442" s="4" t="s">
        <v>3</v>
      </c>
      <c r="O442" s="4">
        <v>-1</v>
      </c>
      <c r="P442" s="4"/>
      <c r="Q442" s="4"/>
      <c r="R442" s="4"/>
      <c r="S442" s="4"/>
      <c r="T442" s="4"/>
      <c r="U442" s="4"/>
      <c r="V442" s="4"/>
      <c r="W442" s="4"/>
    </row>
    <row r="443" spans="1:23" x14ac:dyDescent="0.2">
      <c r="A443" s="4">
        <v>50</v>
      </c>
      <c r="B443" s="4">
        <v>0</v>
      </c>
      <c r="C443" s="4">
        <v>0</v>
      </c>
      <c r="D443" s="4">
        <v>1</v>
      </c>
      <c r="E443" s="4">
        <v>208</v>
      </c>
      <c r="F443" s="4">
        <f>Source!V420</f>
        <v>0</v>
      </c>
      <c r="G443" s="4" t="s">
        <v>97</v>
      </c>
      <c r="H443" s="4" t="s">
        <v>98</v>
      </c>
      <c r="I443" s="4"/>
      <c r="J443" s="4"/>
      <c r="K443" s="4">
        <v>208</v>
      </c>
      <c r="L443" s="4">
        <v>22</v>
      </c>
      <c r="M443" s="4">
        <v>3</v>
      </c>
      <c r="N443" s="4" t="s">
        <v>3</v>
      </c>
      <c r="O443" s="4">
        <v>-1</v>
      </c>
      <c r="P443" s="4"/>
      <c r="Q443" s="4"/>
      <c r="R443" s="4"/>
      <c r="S443" s="4"/>
      <c r="T443" s="4"/>
      <c r="U443" s="4"/>
      <c r="V443" s="4"/>
      <c r="W443" s="4"/>
    </row>
    <row r="444" spans="1:23" x14ac:dyDescent="0.2">
      <c r="A444" s="4">
        <v>50</v>
      </c>
      <c r="B444" s="4">
        <v>0</v>
      </c>
      <c r="C444" s="4">
        <v>0</v>
      </c>
      <c r="D444" s="4">
        <v>1</v>
      </c>
      <c r="E444" s="4">
        <v>209</v>
      </c>
      <c r="F444" s="4">
        <f>ROUND(Source!W420,O444)</f>
        <v>0</v>
      </c>
      <c r="G444" s="4" t="s">
        <v>99</v>
      </c>
      <c r="H444" s="4" t="s">
        <v>100</v>
      </c>
      <c r="I444" s="4"/>
      <c r="J444" s="4"/>
      <c r="K444" s="4">
        <v>209</v>
      </c>
      <c r="L444" s="4">
        <v>23</v>
      </c>
      <c r="M444" s="4">
        <v>3</v>
      </c>
      <c r="N444" s="4" t="s">
        <v>3</v>
      </c>
      <c r="O444" s="4">
        <v>2</v>
      </c>
      <c r="P444" s="4"/>
      <c r="Q444" s="4"/>
      <c r="R444" s="4"/>
      <c r="S444" s="4"/>
      <c r="T444" s="4"/>
      <c r="U444" s="4"/>
      <c r="V444" s="4"/>
      <c r="W444" s="4"/>
    </row>
    <row r="445" spans="1:23" x14ac:dyDescent="0.2">
      <c r="A445" s="4">
        <v>50</v>
      </c>
      <c r="B445" s="4">
        <v>0</v>
      </c>
      <c r="C445" s="4">
        <v>0</v>
      </c>
      <c r="D445" s="4">
        <v>1</v>
      </c>
      <c r="E445" s="4">
        <v>210</v>
      </c>
      <c r="F445" s="4">
        <f>ROUND(Source!X420,O445)</f>
        <v>140581.29999999999</v>
      </c>
      <c r="G445" s="4" t="s">
        <v>101</v>
      </c>
      <c r="H445" s="4" t="s">
        <v>102</v>
      </c>
      <c r="I445" s="4"/>
      <c r="J445" s="4"/>
      <c r="K445" s="4">
        <v>210</v>
      </c>
      <c r="L445" s="4">
        <v>24</v>
      </c>
      <c r="M445" s="4">
        <v>3</v>
      </c>
      <c r="N445" s="4" t="s">
        <v>3</v>
      </c>
      <c r="O445" s="4">
        <v>2</v>
      </c>
      <c r="P445" s="4"/>
      <c r="Q445" s="4"/>
      <c r="R445" s="4"/>
      <c r="S445" s="4"/>
      <c r="T445" s="4"/>
      <c r="U445" s="4"/>
      <c r="V445" s="4"/>
      <c r="W445" s="4"/>
    </row>
    <row r="446" spans="1:23" x14ac:dyDescent="0.2">
      <c r="A446" s="4">
        <v>50</v>
      </c>
      <c r="B446" s="4">
        <v>0</v>
      </c>
      <c r="C446" s="4">
        <v>0</v>
      </c>
      <c r="D446" s="4">
        <v>1</v>
      </c>
      <c r="E446" s="4">
        <v>211</v>
      </c>
      <c r="F446" s="4">
        <f>ROUND(Source!Y420,O446)</f>
        <v>20056.91</v>
      </c>
      <c r="G446" s="4" t="s">
        <v>103</v>
      </c>
      <c r="H446" s="4" t="s">
        <v>104</v>
      </c>
      <c r="I446" s="4"/>
      <c r="J446" s="4"/>
      <c r="K446" s="4">
        <v>211</v>
      </c>
      <c r="L446" s="4">
        <v>25</v>
      </c>
      <c r="M446" s="4">
        <v>3</v>
      </c>
      <c r="N446" s="4" t="s">
        <v>3</v>
      </c>
      <c r="O446" s="4">
        <v>2</v>
      </c>
      <c r="P446" s="4"/>
      <c r="Q446" s="4"/>
      <c r="R446" s="4"/>
      <c r="S446" s="4"/>
      <c r="T446" s="4"/>
      <c r="U446" s="4"/>
      <c r="V446" s="4"/>
      <c r="W446" s="4"/>
    </row>
    <row r="447" spans="1:23" x14ac:dyDescent="0.2">
      <c r="A447" s="4">
        <v>50</v>
      </c>
      <c r="B447" s="4">
        <v>0</v>
      </c>
      <c r="C447" s="4">
        <v>0</v>
      </c>
      <c r="D447" s="4">
        <v>1</v>
      </c>
      <c r="E447" s="4">
        <v>224</v>
      </c>
      <c r="F447" s="4">
        <f>ROUND(Source!AR420,O447)</f>
        <v>3370128.92</v>
      </c>
      <c r="G447" s="4" t="s">
        <v>105</v>
      </c>
      <c r="H447" s="4" t="s">
        <v>106</v>
      </c>
      <c r="I447" s="4"/>
      <c r="J447" s="4"/>
      <c r="K447" s="4">
        <v>224</v>
      </c>
      <c r="L447" s="4">
        <v>26</v>
      </c>
      <c r="M447" s="4">
        <v>3</v>
      </c>
      <c r="N447" s="4" t="s">
        <v>3</v>
      </c>
      <c r="O447" s="4">
        <v>2</v>
      </c>
      <c r="P447" s="4"/>
      <c r="Q447" s="4"/>
      <c r="R447" s="4"/>
      <c r="S447" s="4"/>
      <c r="T447" s="4"/>
      <c r="U447" s="4"/>
      <c r="V447" s="4"/>
      <c r="W447" s="4"/>
    </row>
    <row r="450" spans="1:15" x14ac:dyDescent="0.2">
      <c r="A450">
        <v>-1</v>
      </c>
    </row>
    <row r="452" spans="1:15" x14ac:dyDescent="0.2">
      <c r="A452" s="3">
        <v>75</v>
      </c>
      <c r="B452" s="3" t="s">
        <v>211</v>
      </c>
      <c r="C452" s="3">
        <v>2017</v>
      </c>
      <c r="D452" s="3">
        <v>0</v>
      </c>
      <c r="E452" s="3">
        <v>1</v>
      </c>
      <c r="F452" s="3">
        <v>0</v>
      </c>
      <c r="G452" s="3">
        <v>0</v>
      </c>
      <c r="H452" s="3">
        <v>1</v>
      </c>
      <c r="I452" s="3">
        <v>0</v>
      </c>
      <c r="J452" s="3">
        <v>1</v>
      </c>
      <c r="K452" s="3">
        <v>78</v>
      </c>
      <c r="L452" s="3">
        <v>30</v>
      </c>
      <c r="M452" s="3">
        <v>0</v>
      </c>
      <c r="N452" s="3">
        <v>37598633</v>
      </c>
      <c r="O452" s="3">
        <v>1</v>
      </c>
    </row>
    <row r="456" spans="1:15" x14ac:dyDescent="0.2">
      <c r="A456">
        <v>65</v>
      </c>
      <c r="C456">
        <v>1</v>
      </c>
      <c r="D456">
        <v>0</v>
      </c>
      <c r="E456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212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59050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108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1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3</v>
      </c>
      <c r="CF12" s="1">
        <v>0</v>
      </c>
      <c r="CG12" s="1">
        <v>0</v>
      </c>
      <c r="CH12" s="1">
        <v>10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37598633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5">
        <v>3</v>
      </c>
      <c r="B16" s="5">
        <v>1</v>
      </c>
      <c r="C16" s="5" t="s">
        <v>11</v>
      </c>
      <c r="D16" s="5" t="s">
        <v>11</v>
      </c>
      <c r="E16" s="6">
        <f>(Source!F408)/1000</f>
        <v>0</v>
      </c>
      <c r="F16" s="6">
        <f>(Source!F409)/1000</f>
        <v>0</v>
      </c>
      <c r="G16" s="6">
        <f>(Source!F400)/1000</f>
        <v>0</v>
      </c>
      <c r="H16" s="6">
        <f>(Source!F410)/1000+(Source!F411)/1000</f>
        <v>3370.1289200000001</v>
      </c>
      <c r="I16" s="6">
        <f>E16+F16+G16+H16</f>
        <v>3370.1289200000001</v>
      </c>
      <c r="J16" s="6">
        <f>(Source!F406)/1000</f>
        <v>200.56889999999999</v>
      </c>
      <c r="AI16" s="5">
        <v>0</v>
      </c>
      <c r="AJ16" s="5">
        <v>0</v>
      </c>
      <c r="AK16" s="5" t="s">
        <v>3</v>
      </c>
      <c r="AL16" s="5" t="s">
        <v>3</v>
      </c>
      <c r="AM16" s="5" t="s">
        <v>3</v>
      </c>
      <c r="AN16" s="5">
        <v>0</v>
      </c>
      <c r="AO16" s="5" t="s">
        <v>3</v>
      </c>
      <c r="AP16" s="5" t="s">
        <v>3</v>
      </c>
      <c r="AT16" s="6">
        <v>3099421</v>
      </c>
      <c r="AU16" s="6">
        <v>2420023.54</v>
      </c>
      <c r="AV16" s="6">
        <v>0</v>
      </c>
      <c r="AW16" s="6">
        <v>0</v>
      </c>
      <c r="AX16" s="6">
        <v>0</v>
      </c>
      <c r="AY16" s="6">
        <v>478828.56</v>
      </c>
      <c r="AZ16" s="6">
        <v>294937.12</v>
      </c>
      <c r="BA16" s="6">
        <v>200568.9</v>
      </c>
      <c r="BB16" s="6">
        <v>0</v>
      </c>
      <c r="BC16" s="6">
        <v>0</v>
      </c>
      <c r="BD16" s="6">
        <v>3370128.92</v>
      </c>
      <c r="BE16" s="6">
        <v>0</v>
      </c>
      <c r="BF16" s="6">
        <v>1150.5689510000002</v>
      </c>
      <c r="BG16" s="6">
        <v>0</v>
      </c>
      <c r="BH16" s="6">
        <v>0</v>
      </c>
      <c r="BI16" s="6">
        <v>140581.29999999999</v>
      </c>
      <c r="BJ16" s="6">
        <v>20056.91</v>
      </c>
      <c r="BK16" s="6">
        <v>3370128.92</v>
      </c>
    </row>
    <row r="18" spans="1:19" x14ac:dyDescent="0.2">
      <c r="A18">
        <v>51</v>
      </c>
      <c r="E18" s="7">
        <f>SUMIF(A16:A17,3,E16:E17)</f>
        <v>0</v>
      </c>
      <c r="F18" s="7">
        <f>SUMIF(A16:A17,3,F16:F17)</f>
        <v>0</v>
      </c>
      <c r="G18" s="7">
        <f>SUMIF(A16:A17,3,G16:G17)</f>
        <v>0</v>
      </c>
      <c r="H18" s="7">
        <f>SUMIF(A16:A17,3,H16:H17)</f>
        <v>3370.1289200000001</v>
      </c>
      <c r="I18" s="7">
        <f>SUMIF(A16:A17,3,I16:I17)</f>
        <v>3370.1289200000001</v>
      </c>
      <c r="J18" s="7">
        <f>SUMIF(A16:A17,3,J16:J17)</f>
        <v>200.56889999999999</v>
      </c>
      <c r="K18" s="7"/>
      <c r="L18" s="7"/>
      <c r="M18" s="7"/>
      <c r="N18" s="7"/>
      <c r="O18" s="7"/>
      <c r="P18" s="7"/>
      <c r="Q18" s="7"/>
      <c r="R18" s="7"/>
      <c r="S18" s="7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3099421</v>
      </c>
      <c r="G20" s="4" t="s">
        <v>55</v>
      </c>
      <c r="H20" s="4" t="s">
        <v>56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2420023.54</v>
      </c>
      <c r="G21" s="4" t="s">
        <v>57</v>
      </c>
      <c r="H21" s="4" t="s">
        <v>58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59</v>
      </c>
      <c r="H22" s="4" t="s">
        <v>60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2420023.54</v>
      </c>
      <c r="G23" s="4" t="s">
        <v>61</v>
      </c>
      <c r="H23" s="4" t="s">
        <v>62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2420023.54</v>
      </c>
      <c r="G24" s="4" t="s">
        <v>63</v>
      </c>
      <c r="H24" s="4" t="s">
        <v>64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65</v>
      </c>
      <c r="H25" s="4" t="s">
        <v>66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2420023.54</v>
      </c>
      <c r="G26" s="4" t="s">
        <v>67</v>
      </c>
      <c r="H26" s="4" t="s">
        <v>68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69</v>
      </c>
      <c r="H27" s="4" t="s">
        <v>70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71</v>
      </c>
      <c r="H28" s="4" t="s">
        <v>72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73</v>
      </c>
      <c r="H29" s="4" t="s">
        <v>74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478828.56</v>
      </c>
      <c r="G30" s="4" t="s">
        <v>75</v>
      </c>
      <c r="H30" s="4" t="s">
        <v>76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77</v>
      </c>
      <c r="H31" s="4" t="s">
        <v>78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294937.12</v>
      </c>
      <c r="G32" s="4" t="s">
        <v>79</v>
      </c>
      <c r="H32" s="4" t="s">
        <v>80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200568.9</v>
      </c>
      <c r="G33" s="4" t="s">
        <v>81</v>
      </c>
      <c r="H33" s="4" t="s">
        <v>82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83</v>
      </c>
      <c r="H34" s="4" t="s">
        <v>84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0</v>
      </c>
      <c r="G35" s="4" t="s">
        <v>85</v>
      </c>
      <c r="H35" s="4" t="s">
        <v>86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0</v>
      </c>
      <c r="G36" s="4" t="s">
        <v>87</v>
      </c>
      <c r="H36" s="4" t="s">
        <v>88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3370128.92</v>
      </c>
      <c r="G37" s="4" t="s">
        <v>89</v>
      </c>
      <c r="H37" s="4" t="s">
        <v>90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91</v>
      </c>
      <c r="H38" s="4" t="s">
        <v>92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93</v>
      </c>
      <c r="H39" s="4" t="s">
        <v>94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1150.5689510000002</v>
      </c>
      <c r="G40" s="4" t="s">
        <v>95</v>
      </c>
      <c r="H40" s="4" t="s">
        <v>96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97</v>
      </c>
      <c r="H41" s="4" t="s">
        <v>98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99</v>
      </c>
      <c r="H42" s="4" t="s">
        <v>100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210</v>
      </c>
      <c r="F43" s="4">
        <v>140581.29999999999</v>
      </c>
      <c r="G43" s="4" t="s">
        <v>101</v>
      </c>
      <c r="H43" s="4" t="s">
        <v>102</v>
      </c>
      <c r="I43" s="4"/>
      <c r="J43" s="4"/>
      <c r="K43" s="4">
        <v>210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211</v>
      </c>
      <c r="F44" s="4">
        <v>20056.91</v>
      </c>
      <c r="G44" s="4" t="s">
        <v>103</v>
      </c>
      <c r="H44" s="4" t="s">
        <v>104</v>
      </c>
      <c r="I44" s="4"/>
      <c r="J44" s="4"/>
      <c r="K44" s="4">
        <v>211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224</v>
      </c>
      <c r="F45" s="4">
        <v>3370128.92</v>
      </c>
      <c r="G45" s="4" t="s">
        <v>105</v>
      </c>
      <c r="H45" s="4" t="s">
        <v>106</v>
      </c>
      <c r="I45" s="4"/>
      <c r="J45" s="4"/>
      <c r="K45" s="4">
        <v>224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7" spans="1:16" x14ac:dyDescent="0.2">
      <c r="A47">
        <v>-1</v>
      </c>
    </row>
    <row r="50" spans="1:15" x14ac:dyDescent="0.2">
      <c r="A50" s="3">
        <v>75</v>
      </c>
      <c r="B50" s="3" t="s">
        <v>211</v>
      </c>
      <c r="C50" s="3">
        <v>2017</v>
      </c>
      <c r="D50" s="3">
        <v>0</v>
      </c>
      <c r="E50" s="3">
        <v>1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78</v>
      </c>
      <c r="L50" s="3">
        <v>30</v>
      </c>
      <c r="M50" s="3">
        <v>0</v>
      </c>
      <c r="N50" s="3">
        <v>37598633</v>
      </c>
      <c r="O50" s="3">
        <v>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61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ROW(Source!A28)</f>
        <v>28</v>
      </c>
      <c r="B1">
        <v>37598633</v>
      </c>
      <c r="C1">
        <v>37599982</v>
      </c>
      <c r="D1">
        <v>34176775</v>
      </c>
      <c r="E1">
        <v>15</v>
      </c>
      <c r="F1">
        <v>1</v>
      </c>
      <c r="G1">
        <v>15</v>
      </c>
      <c r="H1">
        <v>1</v>
      </c>
      <c r="I1" t="s">
        <v>213</v>
      </c>
      <c r="J1" t="s">
        <v>3</v>
      </c>
      <c r="K1" t="s">
        <v>214</v>
      </c>
      <c r="L1">
        <v>1191</v>
      </c>
      <c r="N1">
        <v>1013</v>
      </c>
      <c r="O1" t="s">
        <v>215</v>
      </c>
      <c r="P1" t="s">
        <v>215</v>
      </c>
      <c r="Q1">
        <v>1</v>
      </c>
      <c r="W1">
        <v>0</v>
      </c>
      <c r="X1">
        <v>476480486</v>
      </c>
      <c r="Y1">
        <v>155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155</v>
      </c>
      <c r="AU1" t="s">
        <v>3</v>
      </c>
      <c r="AV1">
        <v>1</v>
      </c>
      <c r="AW1">
        <v>2</v>
      </c>
      <c r="AX1">
        <v>37602331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56.574999999999996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ROW(Source!A28)</f>
        <v>28</v>
      </c>
      <c r="B2">
        <v>37598633</v>
      </c>
      <c r="C2">
        <v>37599982</v>
      </c>
      <c r="D2">
        <v>34188152</v>
      </c>
      <c r="E2">
        <v>1</v>
      </c>
      <c r="F2">
        <v>1</v>
      </c>
      <c r="G2">
        <v>15</v>
      </c>
      <c r="H2">
        <v>2</v>
      </c>
      <c r="I2" t="s">
        <v>216</v>
      </c>
      <c r="J2" t="s">
        <v>217</v>
      </c>
      <c r="K2" t="s">
        <v>218</v>
      </c>
      <c r="L2">
        <v>1368</v>
      </c>
      <c r="N2">
        <v>1011</v>
      </c>
      <c r="O2" t="s">
        <v>219</v>
      </c>
      <c r="P2" t="s">
        <v>219</v>
      </c>
      <c r="Q2">
        <v>1</v>
      </c>
      <c r="W2">
        <v>0</v>
      </c>
      <c r="X2">
        <v>762600024</v>
      </c>
      <c r="Y2">
        <v>37.5</v>
      </c>
      <c r="AA2">
        <v>0</v>
      </c>
      <c r="AB2">
        <v>566.36</v>
      </c>
      <c r="AC2">
        <v>309.02999999999997</v>
      </c>
      <c r="AD2">
        <v>0</v>
      </c>
      <c r="AE2">
        <v>0</v>
      </c>
      <c r="AF2">
        <v>566.36</v>
      </c>
      <c r="AG2">
        <v>309.02999999999997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37.5</v>
      </c>
      <c r="AU2" t="s">
        <v>3</v>
      </c>
      <c r="AV2">
        <v>0</v>
      </c>
      <c r="AW2">
        <v>2</v>
      </c>
      <c r="AX2">
        <v>37602332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13.6875</v>
      </c>
      <c r="CY2">
        <f>AB2</f>
        <v>566.36</v>
      </c>
      <c r="CZ2">
        <f>AF2</f>
        <v>566.36</v>
      </c>
      <c r="DA2">
        <f>AJ2</f>
        <v>1</v>
      </c>
      <c r="DB2">
        <v>0</v>
      </c>
    </row>
    <row r="3" spans="1:106" x14ac:dyDescent="0.2">
      <c r="A3">
        <f>ROW(Source!A28)</f>
        <v>28</v>
      </c>
      <c r="B3">
        <v>37598633</v>
      </c>
      <c r="C3">
        <v>37599982</v>
      </c>
      <c r="D3">
        <v>34187711</v>
      </c>
      <c r="E3">
        <v>1</v>
      </c>
      <c r="F3">
        <v>1</v>
      </c>
      <c r="G3">
        <v>15</v>
      </c>
      <c r="H3">
        <v>2</v>
      </c>
      <c r="I3" t="s">
        <v>220</v>
      </c>
      <c r="J3" t="s">
        <v>221</v>
      </c>
      <c r="K3" t="s">
        <v>222</v>
      </c>
      <c r="L3">
        <v>1368</v>
      </c>
      <c r="N3">
        <v>1011</v>
      </c>
      <c r="O3" t="s">
        <v>219</v>
      </c>
      <c r="P3" t="s">
        <v>219</v>
      </c>
      <c r="Q3">
        <v>1</v>
      </c>
      <c r="W3">
        <v>0</v>
      </c>
      <c r="X3">
        <v>-403199405</v>
      </c>
      <c r="Y3">
        <v>75</v>
      </c>
      <c r="AA3">
        <v>0</v>
      </c>
      <c r="AB3">
        <v>4.95</v>
      </c>
      <c r="AC3">
        <v>0.82</v>
      </c>
      <c r="AD3">
        <v>0</v>
      </c>
      <c r="AE3">
        <v>0</v>
      </c>
      <c r="AF3">
        <v>4.95</v>
      </c>
      <c r="AG3">
        <v>0.82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75</v>
      </c>
      <c r="AU3" t="s">
        <v>3</v>
      </c>
      <c r="AV3">
        <v>0</v>
      </c>
      <c r="AW3">
        <v>2</v>
      </c>
      <c r="AX3">
        <v>37602333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Y3*Source!I28</f>
        <v>27.375</v>
      </c>
      <c r="CY3">
        <f>AB3</f>
        <v>4.95</v>
      </c>
      <c r="CZ3">
        <f>AF3</f>
        <v>4.95</v>
      </c>
      <c r="DA3">
        <f>AJ3</f>
        <v>1</v>
      </c>
      <c r="DB3">
        <v>0</v>
      </c>
    </row>
    <row r="4" spans="1:106" x14ac:dyDescent="0.2">
      <c r="A4">
        <f>ROW(Source!A28)</f>
        <v>28</v>
      </c>
      <c r="B4">
        <v>37598633</v>
      </c>
      <c r="C4">
        <v>37599982</v>
      </c>
      <c r="D4">
        <v>34188265</v>
      </c>
      <c r="E4">
        <v>1</v>
      </c>
      <c r="F4">
        <v>1</v>
      </c>
      <c r="G4">
        <v>15</v>
      </c>
      <c r="H4">
        <v>2</v>
      </c>
      <c r="I4" t="s">
        <v>223</v>
      </c>
      <c r="J4" t="s">
        <v>224</v>
      </c>
      <c r="K4" t="s">
        <v>225</v>
      </c>
      <c r="L4">
        <v>1368</v>
      </c>
      <c r="N4">
        <v>1011</v>
      </c>
      <c r="O4" t="s">
        <v>219</v>
      </c>
      <c r="P4" t="s">
        <v>219</v>
      </c>
      <c r="Q4">
        <v>1</v>
      </c>
      <c r="W4">
        <v>0</v>
      </c>
      <c r="X4">
        <v>-1706694778</v>
      </c>
      <c r="Y4">
        <v>1.55</v>
      </c>
      <c r="AA4">
        <v>0</v>
      </c>
      <c r="AB4">
        <v>1142.6300000000001</v>
      </c>
      <c r="AC4">
        <v>468.35</v>
      </c>
      <c r="AD4">
        <v>0</v>
      </c>
      <c r="AE4">
        <v>0</v>
      </c>
      <c r="AF4">
        <v>1142.6300000000001</v>
      </c>
      <c r="AG4">
        <v>468.35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1.55</v>
      </c>
      <c r="AU4" t="s">
        <v>3</v>
      </c>
      <c r="AV4">
        <v>0</v>
      </c>
      <c r="AW4">
        <v>2</v>
      </c>
      <c r="AX4">
        <v>37602334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Y4*Source!I28</f>
        <v>0.56574999999999998</v>
      </c>
      <c r="CY4">
        <f>AB4</f>
        <v>1142.6300000000001</v>
      </c>
      <c r="CZ4">
        <f>AF4</f>
        <v>1142.6300000000001</v>
      </c>
      <c r="DA4">
        <f>AJ4</f>
        <v>1</v>
      </c>
      <c r="DB4">
        <v>0</v>
      </c>
    </row>
    <row r="5" spans="1:106" x14ac:dyDescent="0.2">
      <c r="A5">
        <f>ROW(Source!A29)</f>
        <v>29</v>
      </c>
      <c r="B5">
        <v>37598633</v>
      </c>
      <c r="C5">
        <v>37599991</v>
      </c>
      <c r="D5">
        <v>34176775</v>
      </c>
      <c r="E5">
        <v>15</v>
      </c>
      <c r="F5">
        <v>1</v>
      </c>
      <c r="G5">
        <v>15</v>
      </c>
      <c r="H5">
        <v>1</v>
      </c>
      <c r="I5" t="s">
        <v>213</v>
      </c>
      <c r="J5" t="s">
        <v>3</v>
      </c>
      <c r="K5" t="s">
        <v>214</v>
      </c>
      <c r="L5">
        <v>1191</v>
      </c>
      <c r="N5">
        <v>1013</v>
      </c>
      <c r="O5" t="s">
        <v>215</v>
      </c>
      <c r="P5" t="s">
        <v>215</v>
      </c>
      <c r="Q5">
        <v>1</v>
      </c>
      <c r="W5">
        <v>0</v>
      </c>
      <c r="X5">
        <v>476480486</v>
      </c>
      <c r="Y5">
        <v>11.7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11.7</v>
      </c>
      <c r="AU5" t="s">
        <v>3</v>
      </c>
      <c r="AV5">
        <v>1</v>
      </c>
      <c r="AW5">
        <v>2</v>
      </c>
      <c r="AX5">
        <v>37602335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Y5*Source!I29</f>
        <v>21.352499999999999</v>
      </c>
      <c r="CY5">
        <f>AD5</f>
        <v>0</v>
      </c>
      <c r="CZ5">
        <f>AH5</f>
        <v>0</v>
      </c>
      <c r="DA5">
        <f>AL5</f>
        <v>1</v>
      </c>
      <c r="DB5">
        <v>0</v>
      </c>
    </row>
    <row r="6" spans="1:106" x14ac:dyDescent="0.2">
      <c r="A6">
        <f>ROW(Source!A29)</f>
        <v>29</v>
      </c>
      <c r="B6">
        <v>37598633</v>
      </c>
      <c r="C6">
        <v>37599991</v>
      </c>
      <c r="D6">
        <v>34188463</v>
      </c>
      <c r="E6">
        <v>1</v>
      </c>
      <c r="F6">
        <v>1</v>
      </c>
      <c r="G6">
        <v>15</v>
      </c>
      <c r="H6">
        <v>2</v>
      </c>
      <c r="I6" t="s">
        <v>226</v>
      </c>
      <c r="J6" t="s">
        <v>227</v>
      </c>
      <c r="K6" t="s">
        <v>228</v>
      </c>
      <c r="L6">
        <v>1368</v>
      </c>
      <c r="N6">
        <v>1011</v>
      </c>
      <c r="O6" t="s">
        <v>219</v>
      </c>
      <c r="P6" t="s">
        <v>219</v>
      </c>
      <c r="Q6">
        <v>1</v>
      </c>
      <c r="W6">
        <v>0</v>
      </c>
      <c r="X6">
        <v>1482077759</v>
      </c>
      <c r="Y6">
        <v>1.26</v>
      </c>
      <c r="AA6">
        <v>0</v>
      </c>
      <c r="AB6">
        <v>936.41</v>
      </c>
      <c r="AC6">
        <v>403.45</v>
      </c>
      <c r="AD6">
        <v>0</v>
      </c>
      <c r="AE6">
        <v>0</v>
      </c>
      <c r="AF6">
        <v>936.41</v>
      </c>
      <c r="AG6">
        <v>403.45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1.26</v>
      </c>
      <c r="AU6" t="s">
        <v>3</v>
      </c>
      <c r="AV6">
        <v>0</v>
      </c>
      <c r="AW6">
        <v>2</v>
      </c>
      <c r="AX6">
        <v>37602336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Y6*Source!I29</f>
        <v>2.2995000000000001</v>
      </c>
      <c r="CY6">
        <f t="shared" ref="CY6:CY12" si="0">AB6</f>
        <v>936.41</v>
      </c>
      <c r="CZ6">
        <f t="shared" ref="CZ6:CZ12" si="1">AF6</f>
        <v>936.41</v>
      </c>
      <c r="DA6">
        <f t="shared" ref="DA6:DA12" si="2">AJ6</f>
        <v>1</v>
      </c>
      <c r="DB6">
        <v>0</v>
      </c>
    </row>
    <row r="7" spans="1:106" x14ac:dyDescent="0.2">
      <c r="A7">
        <f>ROW(Source!A29)</f>
        <v>29</v>
      </c>
      <c r="B7">
        <v>37598633</v>
      </c>
      <c r="C7">
        <v>37599991</v>
      </c>
      <c r="D7">
        <v>34188265</v>
      </c>
      <c r="E7">
        <v>1</v>
      </c>
      <c r="F7">
        <v>1</v>
      </c>
      <c r="G7">
        <v>15</v>
      </c>
      <c r="H7">
        <v>2</v>
      </c>
      <c r="I7" t="s">
        <v>223</v>
      </c>
      <c r="J7" t="s">
        <v>224</v>
      </c>
      <c r="K7" t="s">
        <v>225</v>
      </c>
      <c r="L7">
        <v>1368</v>
      </c>
      <c r="N7">
        <v>1011</v>
      </c>
      <c r="O7" t="s">
        <v>219</v>
      </c>
      <c r="P7" t="s">
        <v>219</v>
      </c>
      <c r="Q7">
        <v>1</v>
      </c>
      <c r="W7">
        <v>0</v>
      </c>
      <c r="X7">
        <v>-1706694778</v>
      </c>
      <c r="Y7">
        <v>1.7</v>
      </c>
      <c r="AA7">
        <v>0</v>
      </c>
      <c r="AB7">
        <v>1142.6300000000001</v>
      </c>
      <c r="AC7">
        <v>468.35</v>
      </c>
      <c r="AD7">
        <v>0</v>
      </c>
      <c r="AE7">
        <v>0</v>
      </c>
      <c r="AF7">
        <v>1142.6300000000001</v>
      </c>
      <c r="AG7">
        <v>468.35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1.7</v>
      </c>
      <c r="AU7" t="s">
        <v>3</v>
      </c>
      <c r="AV7">
        <v>0</v>
      </c>
      <c r="AW7">
        <v>2</v>
      </c>
      <c r="AX7">
        <v>37602337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Y7*Source!I29</f>
        <v>3.1025</v>
      </c>
      <c r="CY7">
        <f t="shared" si="0"/>
        <v>1142.6300000000001</v>
      </c>
      <c r="CZ7">
        <f t="shared" si="1"/>
        <v>1142.6300000000001</v>
      </c>
      <c r="DA7">
        <f t="shared" si="2"/>
        <v>1</v>
      </c>
      <c r="DB7">
        <v>0</v>
      </c>
    </row>
    <row r="8" spans="1:106" x14ac:dyDescent="0.2">
      <c r="A8">
        <f>ROW(Source!A30)</f>
        <v>30</v>
      </c>
      <c r="B8">
        <v>37598633</v>
      </c>
      <c r="C8">
        <v>37599998</v>
      </c>
      <c r="D8">
        <v>34188506</v>
      </c>
      <c r="E8">
        <v>1</v>
      </c>
      <c r="F8">
        <v>1</v>
      </c>
      <c r="G8">
        <v>15</v>
      </c>
      <c r="H8">
        <v>2</v>
      </c>
      <c r="I8" t="s">
        <v>229</v>
      </c>
      <c r="J8" t="s">
        <v>230</v>
      </c>
      <c r="K8" t="s">
        <v>231</v>
      </c>
      <c r="L8">
        <v>1368</v>
      </c>
      <c r="N8">
        <v>1011</v>
      </c>
      <c r="O8" t="s">
        <v>219</v>
      </c>
      <c r="P8" t="s">
        <v>219</v>
      </c>
      <c r="Q8">
        <v>1</v>
      </c>
      <c r="W8">
        <v>0</v>
      </c>
      <c r="X8">
        <v>347358450</v>
      </c>
      <c r="Y8">
        <v>5.3699999999999998E-2</v>
      </c>
      <c r="AA8">
        <v>0</v>
      </c>
      <c r="AB8">
        <v>1296.1600000000001</v>
      </c>
      <c r="AC8">
        <v>521.28</v>
      </c>
      <c r="AD8">
        <v>0</v>
      </c>
      <c r="AE8">
        <v>0</v>
      </c>
      <c r="AF8">
        <v>1296.1600000000001</v>
      </c>
      <c r="AG8">
        <v>521.28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5.3699999999999998E-2</v>
      </c>
      <c r="AU8" t="s">
        <v>3</v>
      </c>
      <c r="AV8">
        <v>0</v>
      </c>
      <c r="AW8">
        <v>2</v>
      </c>
      <c r="AX8">
        <v>37602338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Y8*Source!I30</f>
        <v>8.4453254310000005</v>
      </c>
      <c r="CY8">
        <f t="shared" si="0"/>
        <v>1296.1600000000001</v>
      </c>
      <c r="CZ8">
        <f t="shared" si="1"/>
        <v>1296.1600000000001</v>
      </c>
      <c r="DA8">
        <f t="shared" si="2"/>
        <v>1</v>
      </c>
      <c r="DB8">
        <v>0</v>
      </c>
    </row>
    <row r="9" spans="1:106" x14ac:dyDescent="0.2">
      <c r="A9">
        <f>ROW(Source!A31)</f>
        <v>31</v>
      </c>
      <c r="B9">
        <v>37598633</v>
      </c>
      <c r="C9">
        <v>37600001</v>
      </c>
      <c r="D9">
        <v>34187831</v>
      </c>
      <c r="E9">
        <v>1</v>
      </c>
      <c r="F9">
        <v>1</v>
      </c>
      <c r="G9">
        <v>15</v>
      </c>
      <c r="H9">
        <v>2</v>
      </c>
      <c r="I9" t="s">
        <v>232</v>
      </c>
      <c r="J9" t="s">
        <v>233</v>
      </c>
      <c r="K9" t="s">
        <v>234</v>
      </c>
      <c r="L9">
        <v>1368</v>
      </c>
      <c r="N9">
        <v>1011</v>
      </c>
      <c r="O9" t="s">
        <v>219</v>
      </c>
      <c r="P9" t="s">
        <v>219</v>
      </c>
      <c r="Q9">
        <v>1</v>
      </c>
      <c r="W9">
        <v>0</v>
      </c>
      <c r="X9">
        <v>71869596</v>
      </c>
      <c r="Y9">
        <v>0.02</v>
      </c>
      <c r="AA9">
        <v>0</v>
      </c>
      <c r="AB9">
        <v>782.71</v>
      </c>
      <c r="AC9">
        <v>410.24</v>
      </c>
      <c r="AD9">
        <v>0</v>
      </c>
      <c r="AE9">
        <v>0</v>
      </c>
      <c r="AF9">
        <v>782.71</v>
      </c>
      <c r="AG9">
        <v>410.24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0.02</v>
      </c>
      <c r="AU9" t="s">
        <v>3</v>
      </c>
      <c r="AV9">
        <v>0</v>
      </c>
      <c r="AW9">
        <v>2</v>
      </c>
      <c r="AX9">
        <v>37602339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Y9*Source!I31</f>
        <v>3.1453726</v>
      </c>
      <c r="CY9">
        <f t="shared" si="0"/>
        <v>782.71</v>
      </c>
      <c r="CZ9">
        <f t="shared" si="1"/>
        <v>782.71</v>
      </c>
      <c r="DA9">
        <f t="shared" si="2"/>
        <v>1</v>
      </c>
      <c r="DB9">
        <v>0</v>
      </c>
    </row>
    <row r="10" spans="1:106" x14ac:dyDescent="0.2">
      <c r="A10">
        <f>ROW(Source!A31)</f>
        <v>31</v>
      </c>
      <c r="B10">
        <v>37598633</v>
      </c>
      <c r="C10">
        <v>37600001</v>
      </c>
      <c r="D10">
        <v>34187830</v>
      </c>
      <c r="E10">
        <v>1</v>
      </c>
      <c r="F10">
        <v>1</v>
      </c>
      <c r="G10">
        <v>15</v>
      </c>
      <c r="H10">
        <v>2</v>
      </c>
      <c r="I10" t="s">
        <v>235</v>
      </c>
      <c r="J10" t="s">
        <v>236</v>
      </c>
      <c r="K10" t="s">
        <v>237</v>
      </c>
      <c r="L10">
        <v>1368</v>
      </c>
      <c r="N10">
        <v>1011</v>
      </c>
      <c r="O10" t="s">
        <v>219</v>
      </c>
      <c r="P10" t="s">
        <v>219</v>
      </c>
      <c r="Q10">
        <v>1</v>
      </c>
      <c r="W10">
        <v>0</v>
      </c>
      <c r="X10">
        <v>-1411098748</v>
      </c>
      <c r="Y10">
        <v>1.7999999999999999E-2</v>
      </c>
      <c r="AA10">
        <v>0</v>
      </c>
      <c r="AB10">
        <v>939.75</v>
      </c>
      <c r="AC10">
        <v>473.4</v>
      </c>
      <c r="AD10">
        <v>0</v>
      </c>
      <c r="AE10">
        <v>0</v>
      </c>
      <c r="AF10">
        <v>939.75</v>
      </c>
      <c r="AG10">
        <v>473.4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1.7999999999999999E-2</v>
      </c>
      <c r="AU10" t="s">
        <v>3</v>
      </c>
      <c r="AV10">
        <v>0</v>
      </c>
      <c r="AW10">
        <v>2</v>
      </c>
      <c r="AX10">
        <v>37602340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Y10*Source!I31</f>
        <v>2.8308353399999997</v>
      </c>
      <c r="CY10">
        <f t="shared" si="0"/>
        <v>939.75</v>
      </c>
      <c r="CZ10">
        <f t="shared" si="1"/>
        <v>939.75</v>
      </c>
      <c r="DA10">
        <f t="shared" si="2"/>
        <v>1</v>
      </c>
      <c r="DB10">
        <v>0</v>
      </c>
    </row>
    <row r="11" spans="1:106" x14ac:dyDescent="0.2">
      <c r="A11">
        <f>ROW(Source!A32)</f>
        <v>32</v>
      </c>
      <c r="B11">
        <v>37598633</v>
      </c>
      <c r="C11">
        <v>37600006</v>
      </c>
      <c r="D11">
        <v>34187831</v>
      </c>
      <c r="E11">
        <v>1</v>
      </c>
      <c r="F11">
        <v>1</v>
      </c>
      <c r="G11">
        <v>15</v>
      </c>
      <c r="H11">
        <v>2</v>
      </c>
      <c r="I11" t="s">
        <v>232</v>
      </c>
      <c r="J11" t="s">
        <v>233</v>
      </c>
      <c r="K11" t="s">
        <v>234</v>
      </c>
      <c r="L11">
        <v>1368</v>
      </c>
      <c r="N11">
        <v>1011</v>
      </c>
      <c r="O11" t="s">
        <v>219</v>
      </c>
      <c r="P11" t="s">
        <v>219</v>
      </c>
      <c r="Q11">
        <v>1</v>
      </c>
      <c r="W11">
        <v>0</v>
      </c>
      <c r="X11">
        <v>71869596</v>
      </c>
      <c r="Y11">
        <v>0.25</v>
      </c>
      <c r="AA11">
        <v>0</v>
      </c>
      <c r="AB11">
        <v>782.71</v>
      </c>
      <c r="AC11">
        <v>410.24</v>
      </c>
      <c r="AD11">
        <v>0</v>
      </c>
      <c r="AE11">
        <v>0</v>
      </c>
      <c r="AF11">
        <v>782.71</v>
      </c>
      <c r="AG11">
        <v>410.24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0.01</v>
      </c>
      <c r="AU11" t="s">
        <v>40</v>
      </c>
      <c r="AV11">
        <v>0</v>
      </c>
      <c r="AW11">
        <v>2</v>
      </c>
      <c r="AX11">
        <v>37602341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Y11*Source!I32</f>
        <v>39.3171575</v>
      </c>
      <c r="CY11">
        <f t="shared" si="0"/>
        <v>782.71</v>
      </c>
      <c r="CZ11">
        <f t="shared" si="1"/>
        <v>782.71</v>
      </c>
      <c r="DA11">
        <f t="shared" si="2"/>
        <v>1</v>
      </c>
      <c r="DB11">
        <v>0</v>
      </c>
    </row>
    <row r="12" spans="1:106" x14ac:dyDescent="0.2">
      <c r="A12">
        <f>ROW(Source!A32)</f>
        <v>32</v>
      </c>
      <c r="B12">
        <v>37598633</v>
      </c>
      <c r="C12">
        <v>37600006</v>
      </c>
      <c r="D12">
        <v>34187830</v>
      </c>
      <c r="E12">
        <v>1</v>
      </c>
      <c r="F12">
        <v>1</v>
      </c>
      <c r="G12">
        <v>15</v>
      </c>
      <c r="H12">
        <v>2</v>
      </c>
      <c r="I12" t="s">
        <v>235</v>
      </c>
      <c r="J12" t="s">
        <v>236</v>
      </c>
      <c r="K12" t="s">
        <v>237</v>
      </c>
      <c r="L12">
        <v>1368</v>
      </c>
      <c r="N12">
        <v>1011</v>
      </c>
      <c r="O12" t="s">
        <v>219</v>
      </c>
      <c r="P12" t="s">
        <v>219</v>
      </c>
      <c r="Q12">
        <v>1</v>
      </c>
      <c r="W12">
        <v>0</v>
      </c>
      <c r="X12">
        <v>-1411098748</v>
      </c>
      <c r="Y12">
        <v>0.2</v>
      </c>
      <c r="AA12">
        <v>0</v>
      </c>
      <c r="AB12">
        <v>939.75</v>
      </c>
      <c r="AC12">
        <v>473.4</v>
      </c>
      <c r="AD12">
        <v>0</v>
      </c>
      <c r="AE12">
        <v>0</v>
      </c>
      <c r="AF12">
        <v>939.75</v>
      </c>
      <c r="AG12">
        <v>473.4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3</v>
      </c>
      <c r="AT12">
        <v>8.0000000000000002E-3</v>
      </c>
      <c r="AU12" t="s">
        <v>40</v>
      </c>
      <c r="AV12">
        <v>0</v>
      </c>
      <c r="AW12">
        <v>2</v>
      </c>
      <c r="AX12">
        <v>37602342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Y12*Source!I32</f>
        <v>31.453726000000003</v>
      </c>
      <c r="CY12">
        <f t="shared" si="0"/>
        <v>939.75</v>
      </c>
      <c r="CZ12">
        <f t="shared" si="1"/>
        <v>939.75</v>
      </c>
      <c r="DA12">
        <f t="shared" si="2"/>
        <v>1</v>
      </c>
      <c r="DB12">
        <v>0</v>
      </c>
    </row>
    <row r="13" spans="1:106" x14ac:dyDescent="0.2">
      <c r="A13">
        <f>ROW(Source!A33)</f>
        <v>33</v>
      </c>
      <c r="B13">
        <v>37598633</v>
      </c>
      <c r="C13">
        <v>37600011</v>
      </c>
      <c r="D13">
        <v>34176775</v>
      </c>
      <c r="E13">
        <v>15</v>
      </c>
      <c r="F13">
        <v>1</v>
      </c>
      <c r="G13">
        <v>15</v>
      </c>
      <c r="H13">
        <v>1</v>
      </c>
      <c r="I13" t="s">
        <v>213</v>
      </c>
      <c r="J13" t="s">
        <v>3</v>
      </c>
      <c r="K13" t="s">
        <v>214</v>
      </c>
      <c r="L13">
        <v>1191</v>
      </c>
      <c r="N13">
        <v>1013</v>
      </c>
      <c r="O13" t="s">
        <v>215</v>
      </c>
      <c r="P13" t="s">
        <v>215</v>
      </c>
      <c r="Q13">
        <v>1</v>
      </c>
      <c r="W13">
        <v>0</v>
      </c>
      <c r="X13">
        <v>476480486</v>
      </c>
      <c r="Y13">
        <v>16.559999999999999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16.559999999999999</v>
      </c>
      <c r="AU13" t="s">
        <v>3</v>
      </c>
      <c r="AV13">
        <v>1</v>
      </c>
      <c r="AW13">
        <v>2</v>
      </c>
      <c r="AX13">
        <v>37602343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Y13*Source!I33</f>
        <v>12.088799999999999</v>
      </c>
      <c r="CY13">
        <f>AD13</f>
        <v>0</v>
      </c>
      <c r="CZ13">
        <f>AH13</f>
        <v>0</v>
      </c>
      <c r="DA13">
        <f>AL13</f>
        <v>1</v>
      </c>
      <c r="DB13">
        <v>0</v>
      </c>
    </row>
    <row r="14" spans="1:106" x14ac:dyDescent="0.2">
      <c r="A14">
        <f>ROW(Source!A33)</f>
        <v>33</v>
      </c>
      <c r="B14">
        <v>37598633</v>
      </c>
      <c r="C14">
        <v>37600011</v>
      </c>
      <c r="D14">
        <v>34188463</v>
      </c>
      <c r="E14">
        <v>1</v>
      </c>
      <c r="F14">
        <v>1</v>
      </c>
      <c r="G14">
        <v>15</v>
      </c>
      <c r="H14">
        <v>2</v>
      </c>
      <c r="I14" t="s">
        <v>226</v>
      </c>
      <c r="J14" t="s">
        <v>227</v>
      </c>
      <c r="K14" t="s">
        <v>228</v>
      </c>
      <c r="L14">
        <v>1368</v>
      </c>
      <c r="N14">
        <v>1011</v>
      </c>
      <c r="O14" t="s">
        <v>219</v>
      </c>
      <c r="P14" t="s">
        <v>219</v>
      </c>
      <c r="Q14">
        <v>1</v>
      </c>
      <c r="W14">
        <v>0</v>
      </c>
      <c r="X14">
        <v>1482077759</v>
      </c>
      <c r="Y14">
        <v>2.08</v>
      </c>
      <c r="AA14">
        <v>0</v>
      </c>
      <c r="AB14">
        <v>936.41</v>
      </c>
      <c r="AC14">
        <v>403.45</v>
      </c>
      <c r="AD14">
        <v>0</v>
      </c>
      <c r="AE14">
        <v>0</v>
      </c>
      <c r="AF14">
        <v>936.41</v>
      </c>
      <c r="AG14">
        <v>403.45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2.08</v>
      </c>
      <c r="AU14" t="s">
        <v>3</v>
      </c>
      <c r="AV14">
        <v>0</v>
      </c>
      <c r="AW14">
        <v>2</v>
      </c>
      <c r="AX14">
        <v>37602344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Y14*Source!I33</f>
        <v>1.5184</v>
      </c>
      <c r="CY14">
        <f>AB14</f>
        <v>936.41</v>
      </c>
      <c r="CZ14">
        <f>AF14</f>
        <v>936.41</v>
      </c>
      <c r="DA14">
        <f>AJ14</f>
        <v>1</v>
      </c>
      <c r="DB14">
        <v>0</v>
      </c>
    </row>
    <row r="15" spans="1:106" x14ac:dyDescent="0.2">
      <c r="A15">
        <f>ROW(Source!A33)</f>
        <v>33</v>
      </c>
      <c r="B15">
        <v>37598633</v>
      </c>
      <c r="C15">
        <v>37600011</v>
      </c>
      <c r="D15">
        <v>34188306</v>
      </c>
      <c r="E15">
        <v>1</v>
      </c>
      <c r="F15">
        <v>1</v>
      </c>
      <c r="G15">
        <v>15</v>
      </c>
      <c r="H15">
        <v>2</v>
      </c>
      <c r="I15" t="s">
        <v>238</v>
      </c>
      <c r="J15" t="s">
        <v>239</v>
      </c>
      <c r="K15" t="s">
        <v>240</v>
      </c>
      <c r="L15">
        <v>1368</v>
      </c>
      <c r="N15">
        <v>1011</v>
      </c>
      <c r="O15" t="s">
        <v>219</v>
      </c>
      <c r="P15" t="s">
        <v>219</v>
      </c>
      <c r="Q15">
        <v>1</v>
      </c>
      <c r="W15">
        <v>0</v>
      </c>
      <c r="X15">
        <v>1619837319</v>
      </c>
      <c r="Y15">
        <v>2.08</v>
      </c>
      <c r="AA15">
        <v>0</v>
      </c>
      <c r="AB15">
        <v>354.92</v>
      </c>
      <c r="AC15">
        <v>157.22999999999999</v>
      </c>
      <c r="AD15">
        <v>0</v>
      </c>
      <c r="AE15">
        <v>0</v>
      </c>
      <c r="AF15">
        <v>354.92</v>
      </c>
      <c r="AG15">
        <v>157.22999999999999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2.08</v>
      </c>
      <c r="AU15" t="s">
        <v>3</v>
      </c>
      <c r="AV15">
        <v>0</v>
      </c>
      <c r="AW15">
        <v>2</v>
      </c>
      <c r="AX15">
        <v>37602345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Y15*Source!I33</f>
        <v>1.5184</v>
      </c>
      <c r="CY15">
        <f>AB15</f>
        <v>354.92</v>
      </c>
      <c r="CZ15">
        <f>AF15</f>
        <v>354.92</v>
      </c>
      <c r="DA15">
        <f>AJ15</f>
        <v>1</v>
      </c>
      <c r="DB15">
        <v>0</v>
      </c>
    </row>
    <row r="16" spans="1:106" x14ac:dyDescent="0.2">
      <c r="A16">
        <f>ROW(Source!A33)</f>
        <v>33</v>
      </c>
      <c r="B16">
        <v>37598633</v>
      </c>
      <c r="C16">
        <v>37600011</v>
      </c>
      <c r="D16">
        <v>34188303</v>
      </c>
      <c r="E16">
        <v>1</v>
      </c>
      <c r="F16">
        <v>1</v>
      </c>
      <c r="G16">
        <v>15</v>
      </c>
      <c r="H16">
        <v>2</v>
      </c>
      <c r="I16" t="s">
        <v>241</v>
      </c>
      <c r="J16" t="s">
        <v>242</v>
      </c>
      <c r="K16" t="s">
        <v>243</v>
      </c>
      <c r="L16">
        <v>1368</v>
      </c>
      <c r="N16">
        <v>1011</v>
      </c>
      <c r="O16" t="s">
        <v>219</v>
      </c>
      <c r="P16" t="s">
        <v>219</v>
      </c>
      <c r="Q16">
        <v>1</v>
      </c>
      <c r="W16">
        <v>0</v>
      </c>
      <c r="X16">
        <v>-422229590</v>
      </c>
      <c r="Y16">
        <v>0.81</v>
      </c>
      <c r="AA16">
        <v>0</v>
      </c>
      <c r="AB16">
        <v>1527.34</v>
      </c>
      <c r="AC16">
        <v>334.88</v>
      </c>
      <c r="AD16">
        <v>0</v>
      </c>
      <c r="AE16">
        <v>0</v>
      </c>
      <c r="AF16">
        <v>1527.34</v>
      </c>
      <c r="AG16">
        <v>334.88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0.81</v>
      </c>
      <c r="AU16" t="s">
        <v>3</v>
      </c>
      <c r="AV16">
        <v>0</v>
      </c>
      <c r="AW16">
        <v>2</v>
      </c>
      <c r="AX16">
        <v>37602346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Y16*Source!I33</f>
        <v>0.59130000000000005</v>
      </c>
      <c r="CY16">
        <f>AB16</f>
        <v>1527.34</v>
      </c>
      <c r="CZ16">
        <f>AF16</f>
        <v>1527.34</v>
      </c>
      <c r="DA16">
        <f>AJ16</f>
        <v>1</v>
      </c>
      <c r="DB16">
        <v>0</v>
      </c>
    </row>
    <row r="17" spans="1:106" x14ac:dyDescent="0.2">
      <c r="A17">
        <f>ROW(Source!A33)</f>
        <v>33</v>
      </c>
      <c r="B17">
        <v>37598633</v>
      </c>
      <c r="C17">
        <v>37600011</v>
      </c>
      <c r="D17">
        <v>34188265</v>
      </c>
      <c r="E17">
        <v>1</v>
      </c>
      <c r="F17">
        <v>1</v>
      </c>
      <c r="G17">
        <v>15</v>
      </c>
      <c r="H17">
        <v>2</v>
      </c>
      <c r="I17" t="s">
        <v>223</v>
      </c>
      <c r="J17" t="s">
        <v>224</v>
      </c>
      <c r="K17" t="s">
        <v>225</v>
      </c>
      <c r="L17">
        <v>1368</v>
      </c>
      <c r="N17">
        <v>1011</v>
      </c>
      <c r="O17" t="s">
        <v>219</v>
      </c>
      <c r="P17" t="s">
        <v>219</v>
      </c>
      <c r="Q17">
        <v>1</v>
      </c>
      <c r="W17">
        <v>0</v>
      </c>
      <c r="X17">
        <v>-1706694778</v>
      </c>
      <c r="Y17">
        <v>1.94</v>
      </c>
      <c r="AA17">
        <v>0</v>
      </c>
      <c r="AB17">
        <v>1142.6300000000001</v>
      </c>
      <c r="AC17">
        <v>468.35</v>
      </c>
      <c r="AD17">
        <v>0</v>
      </c>
      <c r="AE17">
        <v>0</v>
      </c>
      <c r="AF17">
        <v>1142.6300000000001</v>
      </c>
      <c r="AG17">
        <v>468.35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1.94</v>
      </c>
      <c r="AU17" t="s">
        <v>3</v>
      </c>
      <c r="AV17">
        <v>0</v>
      </c>
      <c r="AW17">
        <v>2</v>
      </c>
      <c r="AX17">
        <v>37602347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Y17*Source!I33</f>
        <v>1.4161999999999999</v>
      </c>
      <c r="CY17">
        <f>AB17</f>
        <v>1142.6300000000001</v>
      </c>
      <c r="CZ17">
        <f>AF17</f>
        <v>1142.6300000000001</v>
      </c>
      <c r="DA17">
        <f>AJ17</f>
        <v>1</v>
      </c>
      <c r="DB17">
        <v>0</v>
      </c>
    </row>
    <row r="18" spans="1:106" x14ac:dyDescent="0.2">
      <c r="A18">
        <f>ROW(Source!A33)</f>
        <v>33</v>
      </c>
      <c r="B18">
        <v>37598633</v>
      </c>
      <c r="C18">
        <v>37600011</v>
      </c>
      <c r="D18">
        <v>34188313</v>
      </c>
      <c r="E18">
        <v>1</v>
      </c>
      <c r="F18">
        <v>1</v>
      </c>
      <c r="G18">
        <v>15</v>
      </c>
      <c r="H18">
        <v>2</v>
      </c>
      <c r="I18" t="s">
        <v>244</v>
      </c>
      <c r="J18" t="s">
        <v>245</v>
      </c>
      <c r="K18" t="s">
        <v>246</v>
      </c>
      <c r="L18">
        <v>1368</v>
      </c>
      <c r="N18">
        <v>1011</v>
      </c>
      <c r="O18" t="s">
        <v>219</v>
      </c>
      <c r="P18" t="s">
        <v>219</v>
      </c>
      <c r="Q18">
        <v>1</v>
      </c>
      <c r="W18">
        <v>0</v>
      </c>
      <c r="X18">
        <v>-882610335</v>
      </c>
      <c r="Y18">
        <v>0.65</v>
      </c>
      <c r="AA18">
        <v>0</v>
      </c>
      <c r="AB18">
        <v>1590.37</v>
      </c>
      <c r="AC18">
        <v>497.81</v>
      </c>
      <c r="AD18">
        <v>0</v>
      </c>
      <c r="AE18">
        <v>0</v>
      </c>
      <c r="AF18">
        <v>1590.37</v>
      </c>
      <c r="AG18">
        <v>497.81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0.65</v>
      </c>
      <c r="AU18" t="s">
        <v>3</v>
      </c>
      <c r="AV18">
        <v>0</v>
      </c>
      <c r="AW18">
        <v>2</v>
      </c>
      <c r="AX18">
        <v>37602348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Y18*Source!I33</f>
        <v>0.47449999999999998</v>
      </c>
      <c r="CY18">
        <f>AB18</f>
        <v>1590.37</v>
      </c>
      <c r="CZ18">
        <f>AF18</f>
        <v>1590.37</v>
      </c>
      <c r="DA18">
        <f>AJ18</f>
        <v>1</v>
      </c>
      <c r="DB18">
        <v>0</v>
      </c>
    </row>
    <row r="19" spans="1:106" x14ac:dyDescent="0.2">
      <c r="A19">
        <f>ROW(Source!A33)</f>
        <v>33</v>
      </c>
      <c r="B19">
        <v>37598633</v>
      </c>
      <c r="C19">
        <v>37600011</v>
      </c>
      <c r="D19">
        <v>34189650</v>
      </c>
      <c r="E19">
        <v>1</v>
      </c>
      <c r="F19">
        <v>1</v>
      </c>
      <c r="G19">
        <v>15</v>
      </c>
      <c r="H19">
        <v>3</v>
      </c>
      <c r="I19" t="s">
        <v>247</v>
      </c>
      <c r="J19" t="s">
        <v>248</v>
      </c>
      <c r="K19" t="s">
        <v>249</v>
      </c>
      <c r="L19">
        <v>1339</v>
      </c>
      <c r="N19">
        <v>1007</v>
      </c>
      <c r="O19" t="s">
        <v>115</v>
      </c>
      <c r="P19" t="s">
        <v>115</v>
      </c>
      <c r="Q19">
        <v>1</v>
      </c>
      <c r="W19">
        <v>0</v>
      </c>
      <c r="X19">
        <v>-1431983879</v>
      </c>
      <c r="Y19">
        <v>110</v>
      </c>
      <c r="AA19">
        <v>559.23</v>
      </c>
      <c r="AB19">
        <v>0</v>
      </c>
      <c r="AC19">
        <v>0</v>
      </c>
      <c r="AD19">
        <v>0</v>
      </c>
      <c r="AE19">
        <v>559.23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3</v>
      </c>
      <c r="AT19">
        <v>110</v>
      </c>
      <c r="AU19" t="s">
        <v>3</v>
      </c>
      <c r="AV19">
        <v>0</v>
      </c>
      <c r="AW19">
        <v>2</v>
      </c>
      <c r="AX19">
        <v>37602349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Y19*Source!I33</f>
        <v>80.3</v>
      </c>
      <c r="CY19">
        <f>AA19</f>
        <v>559.23</v>
      </c>
      <c r="CZ19">
        <f>AE19</f>
        <v>559.23</v>
      </c>
      <c r="DA19">
        <f>AI19</f>
        <v>1</v>
      </c>
      <c r="DB19">
        <v>0</v>
      </c>
    </row>
    <row r="20" spans="1:106" x14ac:dyDescent="0.2">
      <c r="A20">
        <f>ROW(Source!A33)</f>
        <v>33</v>
      </c>
      <c r="B20">
        <v>37598633</v>
      </c>
      <c r="C20">
        <v>37600011</v>
      </c>
      <c r="D20">
        <v>34190363</v>
      </c>
      <c r="E20">
        <v>1</v>
      </c>
      <c r="F20">
        <v>1</v>
      </c>
      <c r="G20">
        <v>15</v>
      </c>
      <c r="H20">
        <v>3</v>
      </c>
      <c r="I20" t="s">
        <v>250</v>
      </c>
      <c r="J20" t="s">
        <v>251</v>
      </c>
      <c r="K20" t="s">
        <v>252</v>
      </c>
      <c r="L20">
        <v>1339</v>
      </c>
      <c r="N20">
        <v>1007</v>
      </c>
      <c r="O20" t="s">
        <v>115</v>
      </c>
      <c r="P20" t="s">
        <v>115</v>
      </c>
      <c r="Q20">
        <v>1</v>
      </c>
      <c r="W20">
        <v>0</v>
      </c>
      <c r="X20">
        <v>-156220903</v>
      </c>
      <c r="Y20">
        <v>5</v>
      </c>
      <c r="AA20">
        <v>28.77</v>
      </c>
      <c r="AB20">
        <v>0</v>
      </c>
      <c r="AC20">
        <v>0</v>
      </c>
      <c r="AD20">
        <v>0</v>
      </c>
      <c r="AE20">
        <v>28.77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S20" t="s">
        <v>3</v>
      </c>
      <c r="AT20">
        <v>5</v>
      </c>
      <c r="AU20" t="s">
        <v>3</v>
      </c>
      <c r="AV20">
        <v>0</v>
      </c>
      <c r="AW20">
        <v>2</v>
      </c>
      <c r="AX20">
        <v>37602350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Y20*Source!I33</f>
        <v>3.65</v>
      </c>
      <c r="CY20">
        <f>AA20</f>
        <v>28.77</v>
      </c>
      <c r="CZ20">
        <f>AE20</f>
        <v>28.77</v>
      </c>
      <c r="DA20">
        <f>AI20</f>
        <v>1</v>
      </c>
      <c r="DB20">
        <v>0</v>
      </c>
    </row>
    <row r="21" spans="1:106" x14ac:dyDescent="0.2">
      <c r="A21">
        <f>ROW(Source!A34)</f>
        <v>34</v>
      </c>
      <c r="B21">
        <v>37598633</v>
      </c>
      <c r="C21">
        <v>37600028</v>
      </c>
      <c r="D21">
        <v>34176775</v>
      </c>
      <c r="E21">
        <v>15</v>
      </c>
      <c r="F21">
        <v>1</v>
      </c>
      <c r="G21">
        <v>15</v>
      </c>
      <c r="H21">
        <v>1</v>
      </c>
      <c r="I21" t="s">
        <v>213</v>
      </c>
      <c r="J21" t="s">
        <v>3</v>
      </c>
      <c r="K21" t="s">
        <v>214</v>
      </c>
      <c r="L21">
        <v>1191</v>
      </c>
      <c r="N21">
        <v>1013</v>
      </c>
      <c r="O21" t="s">
        <v>215</v>
      </c>
      <c r="P21" t="s">
        <v>215</v>
      </c>
      <c r="Q21">
        <v>1</v>
      </c>
      <c r="W21">
        <v>0</v>
      </c>
      <c r="X21">
        <v>476480486</v>
      </c>
      <c r="Y21">
        <v>24.84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24.84</v>
      </c>
      <c r="AU21" t="s">
        <v>3</v>
      </c>
      <c r="AV21">
        <v>1</v>
      </c>
      <c r="AW21">
        <v>2</v>
      </c>
      <c r="AX21">
        <v>37602351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Y21*Source!I34</f>
        <v>18.133199999999999</v>
      </c>
      <c r="CY21">
        <f>AD21</f>
        <v>0</v>
      </c>
      <c r="CZ21">
        <f>AH21</f>
        <v>0</v>
      </c>
      <c r="DA21">
        <f>AL21</f>
        <v>1</v>
      </c>
      <c r="DB21">
        <v>0</v>
      </c>
    </row>
    <row r="22" spans="1:106" x14ac:dyDescent="0.2">
      <c r="A22">
        <f>ROW(Source!A34)</f>
        <v>34</v>
      </c>
      <c r="B22">
        <v>37598633</v>
      </c>
      <c r="C22">
        <v>37600028</v>
      </c>
      <c r="D22">
        <v>34188482</v>
      </c>
      <c r="E22">
        <v>1</v>
      </c>
      <c r="F22">
        <v>1</v>
      </c>
      <c r="G22">
        <v>15</v>
      </c>
      <c r="H22">
        <v>2</v>
      </c>
      <c r="I22" t="s">
        <v>253</v>
      </c>
      <c r="J22" t="s">
        <v>254</v>
      </c>
      <c r="K22" t="s">
        <v>255</v>
      </c>
      <c r="L22">
        <v>1368</v>
      </c>
      <c r="N22">
        <v>1011</v>
      </c>
      <c r="O22" t="s">
        <v>219</v>
      </c>
      <c r="P22" t="s">
        <v>219</v>
      </c>
      <c r="Q22">
        <v>1</v>
      </c>
      <c r="W22">
        <v>0</v>
      </c>
      <c r="X22">
        <v>-1514203159</v>
      </c>
      <c r="Y22">
        <v>2.94</v>
      </c>
      <c r="AA22">
        <v>0</v>
      </c>
      <c r="AB22">
        <v>711.82</v>
      </c>
      <c r="AC22">
        <v>363.48</v>
      </c>
      <c r="AD22">
        <v>0</v>
      </c>
      <c r="AE22">
        <v>0</v>
      </c>
      <c r="AF22">
        <v>711.82</v>
      </c>
      <c r="AG22">
        <v>363.48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2.94</v>
      </c>
      <c r="AU22" t="s">
        <v>3</v>
      </c>
      <c r="AV22">
        <v>0</v>
      </c>
      <c r="AW22">
        <v>2</v>
      </c>
      <c r="AX22">
        <v>37602352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Y22*Source!I34</f>
        <v>2.1461999999999999</v>
      </c>
      <c r="CY22">
        <f t="shared" ref="CY22:CY27" si="3">AB22</f>
        <v>711.82</v>
      </c>
      <c r="CZ22">
        <f t="shared" ref="CZ22:CZ27" si="4">AF22</f>
        <v>711.82</v>
      </c>
      <c r="DA22">
        <f t="shared" ref="DA22:DA27" si="5">AJ22</f>
        <v>1</v>
      </c>
      <c r="DB22">
        <v>0</v>
      </c>
    </row>
    <row r="23" spans="1:106" x14ac:dyDescent="0.2">
      <c r="A23">
        <f>ROW(Source!A34)</f>
        <v>34</v>
      </c>
      <c r="B23">
        <v>37598633</v>
      </c>
      <c r="C23">
        <v>37600028</v>
      </c>
      <c r="D23">
        <v>34188303</v>
      </c>
      <c r="E23">
        <v>1</v>
      </c>
      <c r="F23">
        <v>1</v>
      </c>
      <c r="G23">
        <v>15</v>
      </c>
      <c r="H23">
        <v>2</v>
      </c>
      <c r="I23" t="s">
        <v>241</v>
      </c>
      <c r="J23" t="s">
        <v>242</v>
      </c>
      <c r="K23" t="s">
        <v>243</v>
      </c>
      <c r="L23">
        <v>1368</v>
      </c>
      <c r="N23">
        <v>1011</v>
      </c>
      <c r="O23" t="s">
        <v>219</v>
      </c>
      <c r="P23" t="s">
        <v>219</v>
      </c>
      <c r="Q23">
        <v>1</v>
      </c>
      <c r="W23">
        <v>0</v>
      </c>
      <c r="X23">
        <v>-422229590</v>
      </c>
      <c r="Y23">
        <v>1.1399999999999999</v>
      </c>
      <c r="AA23">
        <v>0</v>
      </c>
      <c r="AB23">
        <v>1527.34</v>
      </c>
      <c r="AC23">
        <v>334.88</v>
      </c>
      <c r="AD23">
        <v>0</v>
      </c>
      <c r="AE23">
        <v>0</v>
      </c>
      <c r="AF23">
        <v>1527.34</v>
      </c>
      <c r="AG23">
        <v>334.88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1.1399999999999999</v>
      </c>
      <c r="AU23" t="s">
        <v>3</v>
      </c>
      <c r="AV23">
        <v>0</v>
      </c>
      <c r="AW23">
        <v>2</v>
      </c>
      <c r="AX23">
        <v>37602353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Y23*Source!I34</f>
        <v>0.83219999999999994</v>
      </c>
      <c r="CY23">
        <f t="shared" si="3"/>
        <v>1527.34</v>
      </c>
      <c r="CZ23">
        <f t="shared" si="4"/>
        <v>1527.34</v>
      </c>
      <c r="DA23">
        <f t="shared" si="5"/>
        <v>1</v>
      </c>
      <c r="DB23">
        <v>0</v>
      </c>
    </row>
    <row r="24" spans="1:106" x14ac:dyDescent="0.2">
      <c r="A24">
        <f>ROW(Source!A34)</f>
        <v>34</v>
      </c>
      <c r="B24">
        <v>37598633</v>
      </c>
      <c r="C24">
        <v>37600028</v>
      </c>
      <c r="D24">
        <v>34188322</v>
      </c>
      <c r="E24">
        <v>1</v>
      </c>
      <c r="F24">
        <v>1</v>
      </c>
      <c r="G24">
        <v>15</v>
      </c>
      <c r="H24">
        <v>2</v>
      </c>
      <c r="I24" t="s">
        <v>256</v>
      </c>
      <c r="J24" t="s">
        <v>257</v>
      </c>
      <c r="K24" t="s">
        <v>258</v>
      </c>
      <c r="L24">
        <v>1368</v>
      </c>
      <c r="N24">
        <v>1011</v>
      </c>
      <c r="O24" t="s">
        <v>219</v>
      </c>
      <c r="P24" t="s">
        <v>219</v>
      </c>
      <c r="Q24">
        <v>1</v>
      </c>
      <c r="W24">
        <v>0</v>
      </c>
      <c r="X24">
        <v>773118248</v>
      </c>
      <c r="Y24">
        <v>8.9600000000000009</v>
      </c>
      <c r="AA24">
        <v>0</v>
      </c>
      <c r="AB24">
        <v>984.76</v>
      </c>
      <c r="AC24">
        <v>387.07</v>
      </c>
      <c r="AD24">
        <v>0</v>
      </c>
      <c r="AE24">
        <v>0</v>
      </c>
      <c r="AF24">
        <v>984.76</v>
      </c>
      <c r="AG24">
        <v>387.07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8.9600000000000009</v>
      </c>
      <c r="AU24" t="s">
        <v>3</v>
      </c>
      <c r="AV24">
        <v>0</v>
      </c>
      <c r="AW24">
        <v>2</v>
      </c>
      <c r="AX24">
        <v>37602354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Y24*Source!I34</f>
        <v>6.5408000000000008</v>
      </c>
      <c r="CY24">
        <f t="shared" si="3"/>
        <v>984.76</v>
      </c>
      <c r="CZ24">
        <f t="shared" si="4"/>
        <v>984.76</v>
      </c>
      <c r="DA24">
        <f t="shared" si="5"/>
        <v>1</v>
      </c>
      <c r="DB24">
        <v>0</v>
      </c>
    </row>
    <row r="25" spans="1:106" x14ac:dyDescent="0.2">
      <c r="A25">
        <f>ROW(Source!A34)</f>
        <v>34</v>
      </c>
      <c r="B25">
        <v>37598633</v>
      </c>
      <c r="C25">
        <v>37600028</v>
      </c>
      <c r="D25">
        <v>34188321</v>
      </c>
      <c r="E25">
        <v>1</v>
      </c>
      <c r="F25">
        <v>1</v>
      </c>
      <c r="G25">
        <v>15</v>
      </c>
      <c r="H25">
        <v>2</v>
      </c>
      <c r="I25" t="s">
        <v>259</v>
      </c>
      <c r="J25" t="s">
        <v>260</v>
      </c>
      <c r="K25" t="s">
        <v>261</v>
      </c>
      <c r="L25">
        <v>1368</v>
      </c>
      <c r="N25">
        <v>1011</v>
      </c>
      <c r="O25" t="s">
        <v>219</v>
      </c>
      <c r="P25" t="s">
        <v>219</v>
      </c>
      <c r="Q25">
        <v>1</v>
      </c>
      <c r="W25">
        <v>0</v>
      </c>
      <c r="X25">
        <v>867169437</v>
      </c>
      <c r="Y25">
        <v>18.25</v>
      </c>
      <c r="AA25">
        <v>0</v>
      </c>
      <c r="AB25">
        <v>1482.31</v>
      </c>
      <c r="AC25">
        <v>526.20000000000005</v>
      </c>
      <c r="AD25">
        <v>0</v>
      </c>
      <c r="AE25">
        <v>0</v>
      </c>
      <c r="AF25">
        <v>1482.31</v>
      </c>
      <c r="AG25">
        <v>526.20000000000005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18.25</v>
      </c>
      <c r="AU25" t="s">
        <v>3</v>
      </c>
      <c r="AV25">
        <v>0</v>
      </c>
      <c r="AW25">
        <v>2</v>
      </c>
      <c r="AX25">
        <v>37602355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Y25*Source!I34</f>
        <v>13.3225</v>
      </c>
      <c r="CY25">
        <f t="shared" si="3"/>
        <v>1482.31</v>
      </c>
      <c r="CZ25">
        <f t="shared" si="4"/>
        <v>1482.31</v>
      </c>
      <c r="DA25">
        <f t="shared" si="5"/>
        <v>1</v>
      </c>
      <c r="DB25">
        <v>0</v>
      </c>
    </row>
    <row r="26" spans="1:106" x14ac:dyDescent="0.2">
      <c r="A26">
        <f>ROW(Source!A34)</f>
        <v>34</v>
      </c>
      <c r="B26">
        <v>37598633</v>
      </c>
      <c r="C26">
        <v>37600028</v>
      </c>
      <c r="D26">
        <v>34188265</v>
      </c>
      <c r="E26">
        <v>1</v>
      </c>
      <c r="F26">
        <v>1</v>
      </c>
      <c r="G26">
        <v>15</v>
      </c>
      <c r="H26">
        <v>2</v>
      </c>
      <c r="I26" t="s">
        <v>223</v>
      </c>
      <c r="J26" t="s">
        <v>224</v>
      </c>
      <c r="K26" t="s">
        <v>225</v>
      </c>
      <c r="L26">
        <v>1368</v>
      </c>
      <c r="N26">
        <v>1011</v>
      </c>
      <c r="O26" t="s">
        <v>219</v>
      </c>
      <c r="P26" t="s">
        <v>219</v>
      </c>
      <c r="Q26">
        <v>1</v>
      </c>
      <c r="W26">
        <v>0</v>
      </c>
      <c r="X26">
        <v>-1706694778</v>
      </c>
      <c r="Y26">
        <v>2.2400000000000002</v>
      </c>
      <c r="AA26">
        <v>0</v>
      </c>
      <c r="AB26">
        <v>1142.6300000000001</v>
      </c>
      <c r="AC26">
        <v>468.35</v>
      </c>
      <c r="AD26">
        <v>0</v>
      </c>
      <c r="AE26">
        <v>0</v>
      </c>
      <c r="AF26">
        <v>1142.6300000000001</v>
      </c>
      <c r="AG26">
        <v>468.35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2.2400000000000002</v>
      </c>
      <c r="AU26" t="s">
        <v>3</v>
      </c>
      <c r="AV26">
        <v>0</v>
      </c>
      <c r="AW26">
        <v>2</v>
      </c>
      <c r="AX26">
        <v>37602356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Y26*Source!I34</f>
        <v>1.6352000000000002</v>
      </c>
      <c r="CY26">
        <f t="shared" si="3"/>
        <v>1142.6300000000001</v>
      </c>
      <c r="CZ26">
        <f t="shared" si="4"/>
        <v>1142.6300000000001</v>
      </c>
      <c r="DA26">
        <f t="shared" si="5"/>
        <v>1</v>
      </c>
      <c r="DB26">
        <v>0</v>
      </c>
    </row>
    <row r="27" spans="1:106" x14ac:dyDescent="0.2">
      <c r="A27">
        <f>ROW(Source!A34)</f>
        <v>34</v>
      </c>
      <c r="B27">
        <v>37598633</v>
      </c>
      <c r="C27">
        <v>37600028</v>
      </c>
      <c r="D27">
        <v>34188313</v>
      </c>
      <c r="E27">
        <v>1</v>
      </c>
      <c r="F27">
        <v>1</v>
      </c>
      <c r="G27">
        <v>15</v>
      </c>
      <c r="H27">
        <v>2</v>
      </c>
      <c r="I27" t="s">
        <v>244</v>
      </c>
      <c r="J27" t="s">
        <v>245</v>
      </c>
      <c r="K27" t="s">
        <v>246</v>
      </c>
      <c r="L27">
        <v>1368</v>
      </c>
      <c r="N27">
        <v>1011</v>
      </c>
      <c r="O27" t="s">
        <v>219</v>
      </c>
      <c r="P27" t="s">
        <v>219</v>
      </c>
      <c r="Q27">
        <v>1</v>
      </c>
      <c r="W27">
        <v>0</v>
      </c>
      <c r="X27">
        <v>-882610335</v>
      </c>
      <c r="Y27">
        <v>0.65</v>
      </c>
      <c r="AA27">
        <v>0</v>
      </c>
      <c r="AB27">
        <v>1590.37</v>
      </c>
      <c r="AC27">
        <v>497.81</v>
      </c>
      <c r="AD27">
        <v>0</v>
      </c>
      <c r="AE27">
        <v>0</v>
      </c>
      <c r="AF27">
        <v>1590.37</v>
      </c>
      <c r="AG27">
        <v>497.81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0.65</v>
      </c>
      <c r="AU27" t="s">
        <v>3</v>
      </c>
      <c r="AV27">
        <v>0</v>
      </c>
      <c r="AW27">
        <v>2</v>
      </c>
      <c r="AX27">
        <v>37602357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Y27*Source!I34</f>
        <v>0.47449999999999998</v>
      </c>
      <c r="CY27">
        <f t="shared" si="3"/>
        <v>1590.37</v>
      </c>
      <c r="CZ27">
        <f t="shared" si="4"/>
        <v>1590.37</v>
      </c>
      <c r="DA27">
        <f t="shared" si="5"/>
        <v>1</v>
      </c>
      <c r="DB27">
        <v>0</v>
      </c>
    </row>
    <row r="28" spans="1:106" x14ac:dyDescent="0.2">
      <c r="A28">
        <f>ROW(Source!A34)</f>
        <v>34</v>
      </c>
      <c r="B28">
        <v>37598633</v>
      </c>
      <c r="C28">
        <v>37600028</v>
      </c>
      <c r="D28">
        <v>34189676</v>
      </c>
      <c r="E28">
        <v>1</v>
      </c>
      <c r="F28">
        <v>1</v>
      </c>
      <c r="G28">
        <v>15</v>
      </c>
      <c r="H28">
        <v>3</v>
      </c>
      <c r="I28" t="s">
        <v>262</v>
      </c>
      <c r="J28" t="s">
        <v>263</v>
      </c>
      <c r="K28" t="s">
        <v>264</v>
      </c>
      <c r="L28">
        <v>1339</v>
      </c>
      <c r="N28">
        <v>1007</v>
      </c>
      <c r="O28" t="s">
        <v>115</v>
      </c>
      <c r="P28" t="s">
        <v>115</v>
      </c>
      <c r="Q28">
        <v>1</v>
      </c>
      <c r="W28">
        <v>0</v>
      </c>
      <c r="X28">
        <v>812099054</v>
      </c>
      <c r="Y28">
        <v>126</v>
      </c>
      <c r="AA28">
        <v>1910.98</v>
      </c>
      <c r="AB28">
        <v>0</v>
      </c>
      <c r="AC28">
        <v>0</v>
      </c>
      <c r="AD28">
        <v>0</v>
      </c>
      <c r="AE28">
        <v>1910.98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1</v>
      </c>
      <c r="AQ28">
        <v>0</v>
      </c>
      <c r="AR28">
        <v>0</v>
      </c>
      <c r="AS28" t="s">
        <v>3</v>
      </c>
      <c r="AT28">
        <v>126</v>
      </c>
      <c r="AU28" t="s">
        <v>3</v>
      </c>
      <c r="AV28">
        <v>0</v>
      </c>
      <c r="AW28">
        <v>2</v>
      </c>
      <c r="AX28">
        <v>37602358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Y28*Source!I34</f>
        <v>91.98</v>
      </c>
      <c r="CY28">
        <f>AA28</f>
        <v>1910.98</v>
      </c>
      <c r="CZ28">
        <f>AE28</f>
        <v>1910.98</v>
      </c>
      <c r="DA28">
        <f>AI28</f>
        <v>1</v>
      </c>
      <c r="DB28">
        <v>0</v>
      </c>
    </row>
    <row r="29" spans="1:106" x14ac:dyDescent="0.2">
      <c r="A29">
        <f>ROW(Source!A34)</f>
        <v>34</v>
      </c>
      <c r="B29">
        <v>37598633</v>
      </c>
      <c r="C29">
        <v>37600028</v>
      </c>
      <c r="D29">
        <v>34190363</v>
      </c>
      <c r="E29">
        <v>1</v>
      </c>
      <c r="F29">
        <v>1</v>
      </c>
      <c r="G29">
        <v>15</v>
      </c>
      <c r="H29">
        <v>3</v>
      </c>
      <c r="I29" t="s">
        <v>250</v>
      </c>
      <c r="J29" t="s">
        <v>251</v>
      </c>
      <c r="K29" t="s">
        <v>252</v>
      </c>
      <c r="L29">
        <v>1339</v>
      </c>
      <c r="N29">
        <v>1007</v>
      </c>
      <c r="O29" t="s">
        <v>115</v>
      </c>
      <c r="P29" t="s">
        <v>115</v>
      </c>
      <c r="Q29">
        <v>1</v>
      </c>
      <c r="W29">
        <v>0</v>
      </c>
      <c r="X29">
        <v>-156220903</v>
      </c>
      <c r="Y29">
        <v>7</v>
      </c>
      <c r="AA29">
        <v>28.77</v>
      </c>
      <c r="AB29">
        <v>0</v>
      </c>
      <c r="AC29">
        <v>0</v>
      </c>
      <c r="AD29">
        <v>0</v>
      </c>
      <c r="AE29">
        <v>28.77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1</v>
      </c>
      <c r="AQ29">
        <v>0</v>
      </c>
      <c r="AR29">
        <v>0</v>
      </c>
      <c r="AS29" t="s">
        <v>3</v>
      </c>
      <c r="AT29">
        <v>7</v>
      </c>
      <c r="AU29" t="s">
        <v>3</v>
      </c>
      <c r="AV29">
        <v>0</v>
      </c>
      <c r="AW29">
        <v>2</v>
      </c>
      <c r="AX29">
        <v>37602359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Y29*Source!I34</f>
        <v>5.1099999999999994</v>
      </c>
      <c r="CY29">
        <f>AA29</f>
        <v>28.77</v>
      </c>
      <c r="CZ29">
        <f>AE29</f>
        <v>28.77</v>
      </c>
      <c r="DA29">
        <f>AI29</f>
        <v>1</v>
      </c>
      <c r="DB29">
        <v>0</v>
      </c>
    </row>
    <row r="30" spans="1:106" x14ac:dyDescent="0.2">
      <c r="A30">
        <f>ROW(Source!A35)</f>
        <v>35</v>
      </c>
      <c r="B30">
        <v>37598633</v>
      </c>
      <c r="C30">
        <v>37600047</v>
      </c>
      <c r="D30">
        <v>34176775</v>
      </c>
      <c r="E30">
        <v>15</v>
      </c>
      <c r="F30">
        <v>1</v>
      </c>
      <c r="G30">
        <v>15</v>
      </c>
      <c r="H30">
        <v>1</v>
      </c>
      <c r="I30" t="s">
        <v>213</v>
      </c>
      <c r="J30" t="s">
        <v>3</v>
      </c>
      <c r="K30" t="s">
        <v>214</v>
      </c>
      <c r="L30">
        <v>1191</v>
      </c>
      <c r="N30">
        <v>1013</v>
      </c>
      <c r="O30" t="s">
        <v>215</v>
      </c>
      <c r="P30" t="s">
        <v>215</v>
      </c>
      <c r="Q30">
        <v>1</v>
      </c>
      <c r="W30">
        <v>0</v>
      </c>
      <c r="X30">
        <v>476480486</v>
      </c>
      <c r="Y30">
        <v>13.57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13.57</v>
      </c>
      <c r="AU30" t="s">
        <v>3</v>
      </c>
      <c r="AV30">
        <v>1</v>
      </c>
      <c r="AW30">
        <v>2</v>
      </c>
      <c r="AX30">
        <v>37602360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Y30*Source!I35</f>
        <v>99.060999999999993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 x14ac:dyDescent="0.2">
      <c r="A31">
        <f>ROW(Source!A35)</f>
        <v>35</v>
      </c>
      <c r="B31">
        <v>37598633</v>
      </c>
      <c r="C31">
        <v>37600047</v>
      </c>
      <c r="D31">
        <v>34188316</v>
      </c>
      <c r="E31">
        <v>1</v>
      </c>
      <c r="F31">
        <v>1</v>
      </c>
      <c r="G31">
        <v>15</v>
      </c>
      <c r="H31">
        <v>2</v>
      </c>
      <c r="I31" t="s">
        <v>265</v>
      </c>
      <c r="J31" t="s">
        <v>266</v>
      </c>
      <c r="K31" t="s">
        <v>267</v>
      </c>
      <c r="L31">
        <v>1368</v>
      </c>
      <c r="N31">
        <v>1011</v>
      </c>
      <c r="O31" t="s">
        <v>219</v>
      </c>
      <c r="P31" t="s">
        <v>219</v>
      </c>
      <c r="Q31">
        <v>1</v>
      </c>
      <c r="W31">
        <v>0</v>
      </c>
      <c r="X31">
        <v>1511709852</v>
      </c>
      <c r="Y31">
        <v>0.46</v>
      </c>
      <c r="AA31">
        <v>0</v>
      </c>
      <c r="AB31">
        <v>628.07000000000005</v>
      </c>
      <c r="AC31">
        <v>377.51</v>
      </c>
      <c r="AD31">
        <v>0</v>
      </c>
      <c r="AE31">
        <v>0</v>
      </c>
      <c r="AF31">
        <v>628.07000000000005</v>
      </c>
      <c r="AG31">
        <v>377.51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0.46</v>
      </c>
      <c r="AU31" t="s">
        <v>3</v>
      </c>
      <c r="AV31">
        <v>0</v>
      </c>
      <c r="AW31">
        <v>2</v>
      </c>
      <c r="AX31">
        <v>37602361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Y31*Source!I35</f>
        <v>3.3580000000000001</v>
      </c>
      <c r="CY31">
        <f>AB31</f>
        <v>628.07000000000005</v>
      </c>
      <c r="CZ31">
        <f>AF31</f>
        <v>628.07000000000005</v>
      </c>
      <c r="DA31">
        <f>AJ31</f>
        <v>1</v>
      </c>
      <c r="DB31">
        <v>0</v>
      </c>
    </row>
    <row r="32" spans="1:106" x14ac:dyDescent="0.2">
      <c r="A32">
        <f>ROW(Source!A35)</f>
        <v>35</v>
      </c>
      <c r="B32">
        <v>37598633</v>
      </c>
      <c r="C32">
        <v>37600047</v>
      </c>
      <c r="D32">
        <v>34188315</v>
      </c>
      <c r="E32">
        <v>1</v>
      </c>
      <c r="F32">
        <v>1</v>
      </c>
      <c r="G32">
        <v>15</v>
      </c>
      <c r="H32">
        <v>2</v>
      </c>
      <c r="I32" t="s">
        <v>268</v>
      </c>
      <c r="J32" t="s">
        <v>269</v>
      </c>
      <c r="K32" t="s">
        <v>270</v>
      </c>
      <c r="L32">
        <v>1368</v>
      </c>
      <c r="N32">
        <v>1011</v>
      </c>
      <c r="O32" t="s">
        <v>219</v>
      </c>
      <c r="P32" t="s">
        <v>219</v>
      </c>
      <c r="Q32">
        <v>1</v>
      </c>
      <c r="W32">
        <v>0</v>
      </c>
      <c r="X32">
        <v>941035487</v>
      </c>
      <c r="Y32">
        <v>1.39</v>
      </c>
      <c r="AA32">
        <v>0</v>
      </c>
      <c r="AB32">
        <v>681</v>
      </c>
      <c r="AC32">
        <v>389.98</v>
      </c>
      <c r="AD32">
        <v>0</v>
      </c>
      <c r="AE32">
        <v>0</v>
      </c>
      <c r="AF32">
        <v>681</v>
      </c>
      <c r="AG32">
        <v>389.98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1.39</v>
      </c>
      <c r="AU32" t="s">
        <v>3</v>
      </c>
      <c r="AV32">
        <v>0</v>
      </c>
      <c r="AW32">
        <v>2</v>
      </c>
      <c r="AX32">
        <v>37602362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Y32*Source!I35</f>
        <v>10.146999999999998</v>
      </c>
      <c r="CY32">
        <f>AB32</f>
        <v>681</v>
      </c>
      <c r="CZ32">
        <f>AF32</f>
        <v>681</v>
      </c>
      <c r="DA32">
        <f>AJ32</f>
        <v>1</v>
      </c>
      <c r="DB32">
        <v>0</v>
      </c>
    </row>
    <row r="33" spans="1:106" x14ac:dyDescent="0.2">
      <c r="A33">
        <f>ROW(Source!A35)</f>
        <v>35</v>
      </c>
      <c r="B33">
        <v>37598633</v>
      </c>
      <c r="C33">
        <v>37600047</v>
      </c>
      <c r="D33">
        <v>34191424</v>
      </c>
      <c r="E33">
        <v>1</v>
      </c>
      <c r="F33">
        <v>1</v>
      </c>
      <c r="G33">
        <v>15</v>
      </c>
      <c r="H33">
        <v>3</v>
      </c>
      <c r="I33" t="s">
        <v>271</v>
      </c>
      <c r="J33" t="s">
        <v>272</v>
      </c>
      <c r="K33" t="s">
        <v>273</v>
      </c>
      <c r="L33">
        <v>1348</v>
      </c>
      <c r="N33">
        <v>1009</v>
      </c>
      <c r="O33" t="s">
        <v>29</v>
      </c>
      <c r="P33" t="s">
        <v>29</v>
      </c>
      <c r="Q33">
        <v>1000</v>
      </c>
      <c r="W33">
        <v>0</v>
      </c>
      <c r="X33">
        <v>58957476</v>
      </c>
      <c r="Y33">
        <v>11.975</v>
      </c>
      <c r="AA33">
        <v>2314.4499999999998</v>
      </c>
      <c r="AB33">
        <v>0</v>
      </c>
      <c r="AC33">
        <v>0</v>
      </c>
      <c r="AD33">
        <v>0</v>
      </c>
      <c r="AE33">
        <v>2314.4499999999998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1</v>
      </c>
      <c r="AQ33">
        <v>0</v>
      </c>
      <c r="AR33">
        <v>0</v>
      </c>
      <c r="AS33" t="s">
        <v>3</v>
      </c>
      <c r="AT33">
        <v>9.58</v>
      </c>
      <c r="AU33" t="s">
        <v>54</v>
      </c>
      <c r="AV33">
        <v>0</v>
      </c>
      <c r="AW33">
        <v>2</v>
      </c>
      <c r="AX33">
        <v>37602363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Y33*Source!I35</f>
        <v>87.41749999999999</v>
      </c>
      <c r="CY33">
        <f>AA33</f>
        <v>2314.4499999999998</v>
      </c>
      <c r="CZ33">
        <f>AE33</f>
        <v>2314.4499999999998</v>
      </c>
      <c r="DA33">
        <f>AI33</f>
        <v>1</v>
      </c>
      <c r="DB33">
        <v>0</v>
      </c>
    </row>
    <row r="34" spans="1:106" x14ac:dyDescent="0.2">
      <c r="A34">
        <f>ROW(Source!A70)</f>
        <v>70</v>
      </c>
      <c r="B34">
        <v>37598633</v>
      </c>
      <c r="C34">
        <v>37600056</v>
      </c>
      <c r="D34">
        <v>34176775</v>
      </c>
      <c r="E34">
        <v>15</v>
      </c>
      <c r="F34">
        <v>1</v>
      </c>
      <c r="G34">
        <v>15</v>
      </c>
      <c r="H34">
        <v>1</v>
      </c>
      <c r="I34" t="s">
        <v>213</v>
      </c>
      <c r="J34" t="s">
        <v>3</v>
      </c>
      <c r="K34" t="s">
        <v>214</v>
      </c>
      <c r="L34">
        <v>1191</v>
      </c>
      <c r="N34">
        <v>1013</v>
      </c>
      <c r="O34" t="s">
        <v>215</v>
      </c>
      <c r="P34" t="s">
        <v>215</v>
      </c>
      <c r="Q34">
        <v>1</v>
      </c>
      <c r="W34">
        <v>0</v>
      </c>
      <c r="X34">
        <v>476480486</v>
      </c>
      <c r="Y34">
        <v>1.05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1.05</v>
      </c>
      <c r="AU34" t="s">
        <v>3</v>
      </c>
      <c r="AV34">
        <v>1</v>
      </c>
      <c r="AW34">
        <v>2</v>
      </c>
      <c r="AX34">
        <v>37602364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Y34*Source!I70</f>
        <v>4.7774999999999998E-2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x14ac:dyDescent="0.2">
      <c r="A35">
        <f>ROW(Source!A70)</f>
        <v>70</v>
      </c>
      <c r="B35">
        <v>37598633</v>
      </c>
      <c r="C35">
        <v>37600056</v>
      </c>
      <c r="D35">
        <v>34188481</v>
      </c>
      <c r="E35">
        <v>1</v>
      </c>
      <c r="F35">
        <v>1</v>
      </c>
      <c r="G35">
        <v>15</v>
      </c>
      <c r="H35">
        <v>2</v>
      </c>
      <c r="I35" t="s">
        <v>274</v>
      </c>
      <c r="J35" t="s">
        <v>275</v>
      </c>
      <c r="K35" t="s">
        <v>276</v>
      </c>
      <c r="L35">
        <v>1368</v>
      </c>
      <c r="N35">
        <v>1011</v>
      </c>
      <c r="O35" t="s">
        <v>219</v>
      </c>
      <c r="P35" t="s">
        <v>219</v>
      </c>
      <c r="Q35">
        <v>1</v>
      </c>
      <c r="W35">
        <v>0</v>
      </c>
      <c r="X35">
        <v>219968779</v>
      </c>
      <c r="Y35">
        <v>0.82</v>
      </c>
      <c r="AA35">
        <v>0</v>
      </c>
      <c r="AB35">
        <v>770.83</v>
      </c>
      <c r="AC35">
        <v>421.3</v>
      </c>
      <c r="AD35">
        <v>0</v>
      </c>
      <c r="AE35">
        <v>0</v>
      </c>
      <c r="AF35">
        <v>770.83</v>
      </c>
      <c r="AG35">
        <v>421.3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0.82</v>
      </c>
      <c r="AU35" t="s">
        <v>3</v>
      </c>
      <c r="AV35">
        <v>0</v>
      </c>
      <c r="AW35">
        <v>2</v>
      </c>
      <c r="AX35">
        <v>37602365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Y35*Source!I70</f>
        <v>3.7309999999999996E-2</v>
      </c>
      <c r="CY35">
        <f>AB35</f>
        <v>770.83</v>
      </c>
      <c r="CZ35">
        <f>AF35</f>
        <v>770.83</v>
      </c>
      <c r="DA35">
        <f>AJ35</f>
        <v>1</v>
      </c>
      <c r="DB35">
        <v>0</v>
      </c>
    </row>
    <row r="36" spans="1:106" x14ac:dyDescent="0.2">
      <c r="A36">
        <f>ROW(Source!A70)</f>
        <v>70</v>
      </c>
      <c r="B36">
        <v>37598633</v>
      </c>
      <c r="C36">
        <v>37600056</v>
      </c>
      <c r="D36">
        <v>34188505</v>
      </c>
      <c r="E36">
        <v>1</v>
      </c>
      <c r="F36">
        <v>1</v>
      </c>
      <c r="G36">
        <v>15</v>
      </c>
      <c r="H36">
        <v>2</v>
      </c>
      <c r="I36" t="s">
        <v>277</v>
      </c>
      <c r="J36" t="s">
        <v>278</v>
      </c>
      <c r="K36" t="s">
        <v>279</v>
      </c>
      <c r="L36">
        <v>1368</v>
      </c>
      <c r="N36">
        <v>1011</v>
      </c>
      <c r="O36" t="s">
        <v>219</v>
      </c>
      <c r="P36" t="s">
        <v>219</v>
      </c>
      <c r="Q36">
        <v>1</v>
      </c>
      <c r="W36">
        <v>0</v>
      </c>
      <c r="X36">
        <v>-335375421</v>
      </c>
      <c r="Y36">
        <v>3.54</v>
      </c>
      <c r="AA36">
        <v>0</v>
      </c>
      <c r="AB36">
        <v>1217.8599999999999</v>
      </c>
      <c r="AC36">
        <v>470.88</v>
      </c>
      <c r="AD36">
        <v>0</v>
      </c>
      <c r="AE36">
        <v>0</v>
      </c>
      <c r="AF36">
        <v>1217.8599999999999</v>
      </c>
      <c r="AG36">
        <v>470.88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3.54</v>
      </c>
      <c r="AU36" t="s">
        <v>3</v>
      </c>
      <c r="AV36">
        <v>0</v>
      </c>
      <c r="AW36">
        <v>2</v>
      </c>
      <c r="AX36">
        <v>37602366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Y36*Source!I70</f>
        <v>0.16106999999999999</v>
      </c>
      <c r="CY36">
        <f>AB36</f>
        <v>1217.8599999999999</v>
      </c>
      <c r="CZ36">
        <f>AF36</f>
        <v>1217.8599999999999</v>
      </c>
      <c r="DA36">
        <f>AJ36</f>
        <v>1</v>
      </c>
      <c r="DB36">
        <v>0</v>
      </c>
    </row>
    <row r="37" spans="1:106" x14ac:dyDescent="0.2">
      <c r="A37">
        <f>ROW(Source!A71)</f>
        <v>71</v>
      </c>
      <c r="B37">
        <v>37598633</v>
      </c>
      <c r="C37">
        <v>37600063</v>
      </c>
      <c r="D37">
        <v>34187830</v>
      </c>
      <c r="E37">
        <v>1</v>
      </c>
      <c r="F37">
        <v>1</v>
      </c>
      <c r="G37">
        <v>15</v>
      </c>
      <c r="H37">
        <v>2</v>
      </c>
      <c r="I37" t="s">
        <v>235</v>
      </c>
      <c r="J37" t="s">
        <v>236</v>
      </c>
      <c r="K37" t="s">
        <v>237</v>
      </c>
      <c r="L37">
        <v>1368</v>
      </c>
      <c r="N37">
        <v>1011</v>
      </c>
      <c r="O37" t="s">
        <v>219</v>
      </c>
      <c r="P37" t="s">
        <v>219</v>
      </c>
      <c r="Q37">
        <v>1</v>
      </c>
      <c r="W37">
        <v>0</v>
      </c>
      <c r="X37">
        <v>-1411098748</v>
      </c>
      <c r="Y37">
        <v>3.1E-2</v>
      </c>
      <c r="AA37">
        <v>0</v>
      </c>
      <c r="AB37">
        <v>939.75</v>
      </c>
      <c r="AC37">
        <v>473.4</v>
      </c>
      <c r="AD37">
        <v>0</v>
      </c>
      <c r="AE37">
        <v>0</v>
      </c>
      <c r="AF37">
        <v>939.75</v>
      </c>
      <c r="AG37">
        <v>473.4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3.1E-2</v>
      </c>
      <c r="AU37" t="s">
        <v>3</v>
      </c>
      <c r="AV37">
        <v>0</v>
      </c>
      <c r="AW37">
        <v>2</v>
      </c>
      <c r="AX37">
        <v>37602367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Y37*Source!I71</f>
        <v>0.14104999999999998</v>
      </c>
      <c r="CY37">
        <f>AB37</f>
        <v>939.75</v>
      </c>
      <c r="CZ37">
        <f>AF37</f>
        <v>939.75</v>
      </c>
      <c r="DA37">
        <f>AJ37</f>
        <v>1</v>
      </c>
      <c r="DB37">
        <v>0</v>
      </c>
    </row>
    <row r="38" spans="1:106" x14ac:dyDescent="0.2">
      <c r="A38">
        <f>ROW(Source!A72)</f>
        <v>72</v>
      </c>
      <c r="B38">
        <v>37598633</v>
      </c>
      <c r="C38">
        <v>37600066</v>
      </c>
      <c r="D38">
        <v>34187830</v>
      </c>
      <c r="E38">
        <v>1</v>
      </c>
      <c r="F38">
        <v>1</v>
      </c>
      <c r="G38">
        <v>15</v>
      </c>
      <c r="H38">
        <v>2</v>
      </c>
      <c r="I38" t="s">
        <v>235</v>
      </c>
      <c r="J38" t="s">
        <v>236</v>
      </c>
      <c r="K38" t="s">
        <v>237</v>
      </c>
      <c r="L38">
        <v>1368</v>
      </c>
      <c r="N38">
        <v>1011</v>
      </c>
      <c r="O38" t="s">
        <v>219</v>
      </c>
      <c r="P38" t="s">
        <v>219</v>
      </c>
      <c r="Q38">
        <v>1</v>
      </c>
      <c r="W38">
        <v>0</v>
      </c>
      <c r="X38">
        <v>-1411098748</v>
      </c>
      <c r="Y38">
        <v>0.26</v>
      </c>
      <c r="AA38">
        <v>0</v>
      </c>
      <c r="AB38">
        <v>939.75</v>
      </c>
      <c r="AC38">
        <v>473.4</v>
      </c>
      <c r="AD38">
        <v>0</v>
      </c>
      <c r="AE38">
        <v>0</v>
      </c>
      <c r="AF38">
        <v>939.75</v>
      </c>
      <c r="AG38">
        <v>473.4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1</v>
      </c>
      <c r="AQ38">
        <v>0</v>
      </c>
      <c r="AR38">
        <v>0</v>
      </c>
      <c r="AS38" t="s">
        <v>3</v>
      </c>
      <c r="AT38">
        <v>0.01</v>
      </c>
      <c r="AU38" t="s">
        <v>121</v>
      </c>
      <c r="AV38">
        <v>0</v>
      </c>
      <c r="AW38">
        <v>2</v>
      </c>
      <c r="AX38">
        <v>37602368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Y38*Source!I72</f>
        <v>1.1830000000000001</v>
      </c>
      <c r="CY38">
        <f>AB38</f>
        <v>939.75</v>
      </c>
      <c r="CZ38">
        <f>AF38</f>
        <v>939.75</v>
      </c>
      <c r="DA38">
        <f>AJ38</f>
        <v>1</v>
      </c>
      <c r="DB38">
        <v>0</v>
      </c>
    </row>
    <row r="39" spans="1:106" x14ac:dyDescent="0.2">
      <c r="A39">
        <f>ROW(Source!A73)</f>
        <v>73</v>
      </c>
      <c r="B39">
        <v>37598633</v>
      </c>
      <c r="C39">
        <v>37600069</v>
      </c>
      <c r="D39">
        <v>34176775</v>
      </c>
      <c r="E39">
        <v>15</v>
      </c>
      <c r="F39">
        <v>1</v>
      </c>
      <c r="G39">
        <v>15</v>
      </c>
      <c r="H39">
        <v>1</v>
      </c>
      <c r="I39" t="s">
        <v>213</v>
      </c>
      <c r="J39" t="s">
        <v>3</v>
      </c>
      <c r="K39" t="s">
        <v>214</v>
      </c>
      <c r="L39">
        <v>1191</v>
      </c>
      <c r="N39">
        <v>1013</v>
      </c>
      <c r="O39" t="s">
        <v>215</v>
      </c>
      <c r="P39" t="s">
        <v>215</v>
      </c>
      <c r="Q39">
        <v>1</v>
      </c>
      <c r="W39">
        <v>0</v>
      </c>
      <c r="X39">
        <v>476480486</v>
      </c>
      <c r="Y39">
        <v>16.559999999999999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16.559999999999999</v>
      </c>
      <c r="AU39" t="s">
        <v>3</v>
      </c>
      <c r="AV39">
        <v>1</v>
      </c>
      <c r="AW39">
        <v>2</v>
      </c>
      <c r="AX39">
        <v>37602369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Y39*Source!I73</f>
        <v>0.21527999999999997</v>
      </c>
      <c r="CY39">
        <f>AD39</f>
        <v>0</v>
      </c>
      <c r="CZ39">
        <f>AH39</f>
        <v>0</v>
      </c>
      <c r="DA39">
        <f>AL39</f>
        <v>1</v>
      </c>
      <c r="DB39">
        <v>0</v>
      </c>
    </row>
    <row r="40" spans="1:106" x14ac:dyDescent="0.2">
      <c r="A40">
        <f>ROW(Source!A73)</f>
        <v>73</v>
      </c>
      <c r="B40">
        <v>37598633</v>
      </c>
      <c r="C40">
        <v>37600069</v>
      </c>
      <c r="D40">
        <v>34188463</v>
      </c>
      <c r="E40">
        <v>1</v>
      </c>
      <c r="F40">
        <v>1</v>
      </c>
      <c r="G40">
        <v>15</v>
      </c>
      <c r="H40">
        <v>2</v>
      </c>
      <c r="I40" t="s">
        <v>226</v>
      </c>
      <c r="J40" t="s">
        <v>227</v>
      </c>
      <c r="K40" t="s">
        <v>228</v>
      </c>
      <c r="L40">
        <v>1368</v>
      </c>
      <c r="N40">
        <v>1011</v>
      </c>
      <c r="O40" t="s">
        <v>219</v>
      </c>
      <c r="P40" t="s">
        <v>219</v>
      </c>
      <c r="Q40">
        <v>1</v>
      </c>
      <c r="W40">
        <v>0</v>
      </c>
      <c r="X40">
        <v>1482077759</v>
      </c>
      <c r="Y40">
        <v>2.08</v>
      </c>
      <c r="AA40">
        <v>0</v>
      </c>
      <c r="AB40">
        <v>936.41</v>
      </c>
      <c r="AC40">
        <v>403.45</v>
      </c>
      <c r="AD40">
        <v>0</v>
      </c>
      <c r="AE40">
        <v>0</v>
      </c>
      <c r="AF40">
        <v>936.41</v>
      </c>
      <c r="AG40">
        <v>403.45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2.08</v>
      </c>
      <c r="AU40" t="s">
        <v>3</v>
      </c>
      <c r="AV40">
        <v>0</v>
      </c>
      <c r="AW40">
        <v>2</v>
      </c>
      <c r="AX40">
        <v>37602370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Y40*Source!I73</f>
        <v>2.7039999999999998E-2</v>
      </c>
      <c r="CY40">
        <f>AB40</f>
        <v>936.41</v>
      </c>
      <c r="CZ40">
        <f>AF40</f>
        <v>936.41</v>
      </c>
      <c r="DA40">
        <f>AJ40</f>
        <v>1</v>
      </c>
      <c r="DB40">
        <v>0</v>
      </c>
    </row>
    <row r="41" spans="1:106" x14ac:dyDescent="0.2">
      <c r="A41">
        <f>ROW(Source!A73)</f>
        <v>73</v>
      </c>
      <c r="B41">
        <v>37598633</v>
      </c>
      <c r="C41">
        <v>37600069</v>
      </c>
      <c r="D41">
        <v>34188306</v>
      </c>
      <c r="E41">
        <v>1</v>
      </c>
      <c r="F41">
        <v>1</v>
      </c>
      <c r="G41">
        <v>15</v>
      </c>
      <c r="H41">
        <v>2</v>
      </c>
      <c r="I41" t="s">
        <v>238</v>
      </c>
      <c r="J41" t="s">
        <v>239</v>
      </c>
      <c r="K41" t="s">
        <v>240</v>
      </c>
      <c r="L41">
        <v>1368</v>
      </c>
      <c r="N41">
        <v>1011</v>
      </c>
      <c r="O41" t="s">
        <v>219</v>
      </c>
      <c r="P41" t="s">
        <v>219</v>
      </c>
      <c r="Q41">
        <v>1</v>
      </c>
      <c r="W41">
        <v>0</v>
      </c>
      <c r="X41">
        <v>1619837319</v>
      </c>
      <c r="Y41">
        <v>2.08</v>
      </c>
      <c r="AA41">
        <v>0</v>
      </c>
      <c r="AB41">
        <v>354.92</v>
      </c>
      <c r="AC41">
        <v>157.22999999999999</v>
      </c>
      <c r="AD41">
        <v>0</v>
      </c>
      <c r="AE41">
        <v>0</v>
      </c>
      <c r="AF41">
        <v>354.92</v>
      </c>
      <c r="AG41">
        <v>157.22999999999999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2.08</v>
      </c>
      <c r="AU41" t="s">
        <v>3</v>
      </c>
      <c r="AV41">
        <v>0</v>
      </c>
      <c r="AW41">
        <v>2</v>
      </c>
      <c r="AX41">
        <v>37602371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Y41*Source!I73</f>
        <v>2.7039999999999998E-2</v>
      </c>
      <c r="CY41">
        <f>AB41</f>
        <v>354.92</v>
      </c>
      <c r="CZ41">
        <f>AF41</f>
        <v>354.92</v>
      </c>
      <c r="DA41">
        <f>AJ41</f>
        <v>1</v>
      </c>
      <c r="DB41">
        <v>0</v>
      </c>
    </row>
    <row r="42" spans="1:106" x14ac:dyDescent="0.2">
      <c r="A42">
        <f>ROW(Source!A73)</f>
        <v>73</v>
      </c>
      <c r="B42">
        <v>37598633</v>
      </c>
      <c r="C42">
        <v>37600069</v>
      </c>
      <c r="D42">
        <v>34188303</v>
      </c>
      <c r="E42">
        <v>1</v>
      </c>
      <c r="F42">
        <v>1</v>
      </c>
      <c r="G42">
        <v>15</v>
      </c>
      <c r="H42">
        <v>2</v>
      </c>
      <c r="I42" t="s">
        <v>241</v>
      </c>
      <c r="J42" t="s">
        <v>242</v>
      </c>
      <c r="K42" t="s">
        <v>243</v>
      </c>
      <c r="L42">
        <v>1368</v>
      </c>
      <c r="N42">
        <v>1011</v>
      </c>
      <c r="O42" t="s">
        <v>219</v>
      </c>
      <c r="P42" t="s">
        <v>219</v>
      </c>
      <c r="Q42">
        <v>1</v>
      </c>
      <c r="W42">
        <v>0</v>
      </c>
      <c r="X42">
        <v>-422229590</v>
      </c>
      <c r="Y42">
        <v>0.81</v>
      </c>
      <c r="AA42">
        <v>0</v>
      </c>
      <c r="AB42">
        <v>1527.34</v>
      </c>
      <c r="AC42">
        <v>334.88</v>
      </c>
      <c r="AD42">
        <v>0</v>
      </c>
      <c r="AE42">
        <v>0</v>
      </c>
      <c r="AF42">
        <v>1527.34</v>
      </c>
      <c r="AG42">
        <v>334.88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0.81</v>
      </c>
      <c r="AU42" t="s">
        <v>3</v>
      </c>
      <c r="AV42">
        <v>0</v>
      </c>
      <c r="AW42">
        <v>2</v>
      </c>
      <c r="AX42">
        <v>37602372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Y42*Source!I73</f>
        <v>1.0529999999999999E-2</v>
      </c>
      <c r="CY42">
        <f>AB42</f>
        <v>1527.34</v>
      </c>
      <c r="CZ42">
        <f>AF42</f>
        <v>1527.34</v>
      </c>
      <c r="DA42">
        <f>AJ42</f>
        <v>1</v>
      </c>
      <c r="DB42">
        <v>0</v>
      </c>
    </row>
    <row r="43" spans="1:106" x14ac:dyDescent="0.2">
      <c r="A43">
        <f>ROW(Source!A73)</f>
        <v>73</v>
      </c>
      <c r="B43">
        <v>37598633</v>
      </c>
      <c r="C43">
        <v>37600069</v>
      </c>
      <c r="D43">
        <v>34188265</v>
      </c>
      <c r="E43">
        <v>1</v>
      </c>
      <c r="F43">
        <v>1</v>
      </c>
      <c r="G43">
        <v>15</v>
      </c>
      <c r="H43">
        <v>2</v>
      </c>
      <c r="I43" t="s">
        <v>223</v>
      </c>
      <c r="J43" t="s">
        <v>224</v>
      </c>
      <c r="K43" t="s">
        <v>225</v>
      </c>
      <c r="L43">
        <v>1368</v>
      </c>
      <c r="N43">
        <v>1011</v>
      </c>
      <c r="O43" t="s">
        <v>219</v>
      </c>
      <c r="P43" t="s">
        <v>219</v>
      </c>
      <c r="Q43">
        <v>1</v>
      </c>
      <c r="W43">
        <v>0</v>
      </c>
      <c r="X43">
        <v>-1706694778</v>
      </c>
      <c r="Y43">
        <v>1.94</v>
      </c>
      <c r="AA43">
        <v>0</v>
      </c>
      <c r="AB43">
        <v>1142.6300000000001</v>
      </c>
      <c r="AC43">
        <v>468.35</v>
      </c>
      <c r="AD43">
        <v>0</v>
      </c>
      <c r="AE43">
        <v>0</v>
      </c>
      <c r="AF43">
        <v>1142.6300000000001</v>
      </c>
      <c r="AG43">
        <v>468.35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1.94</v>
      </c>
      <c r="AU43" t="s">
        <v>3</v>
      </c>
      <c r="AV43">
        <v>0</v>
      </c>
      <c r="AW43">
        <v>2</v>
      </c>
      <c r="AX43">
        <v>37602373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Y43*Source!I73</f>
        <v>2.5219999999999999E-2</v>
      </c>
      <c r="CY43">
        <f>AB43</f>
        <v>1142.6300000000001</v>
      </c>
      <c r="CZ43">
        <f>AF43</f>
        <v>1142.6300000000001</v>
      </c>
      <c r="DA43">
        <f>AJ43</f>
        <v>1</v>
      </c>
      <c r="DB43">
        <v>0</v>
      </c>
    </row>
    <row r="44" spans="1:106" x14ac:dyDescent="0.2">
      <c r="A44">
        <f>ROW(Source!A73)</f>
        <v>73</v>
      </c>
      <c r="B44">
        <v>37598633</v>
      </c>
      <c r="C44">
        <v>37600069</v>
      </c>
      <c r="D44">
        <v>34188313</v>
      </c>
      <c r="E44">
        <v>1</v>
      </c>
      <c r="F44">
        <v>1</v>
      </c>
      <c r="G44">
        <v>15</v>
      </c>
      <c r="H44">
        <v>2</v>
      </c>
      <c r="I44" t="s">
        <v>244</v>
      </c>
      <c r="J44" t="s">
        <v>245</v>
      </c>
      <c r="K44" t="s">
        <v>246</v>
      </c>
      <c r="L44">
        <v>1368</v>
      </c>
      <c r="N44">
        <v>1011</v>
      </c>
      <c r="O44" t="s">
        <v>219</v>
      </c>
      <c r="P44" t="s">
        <v>219</v>
      </c>
      <c r="Q44">
        <v>1</v>
      </c>
      <c r="W44">
        <v>0</v>
      </c>
      <c r="X44">
        <v>-882610335</v>
      </c>
      <c r="Y44">
        <v>0.65</v>
      </c>
      <c r="AA44">
        <v>0</v>
      </c>
      <c r="AB44">
        <v>1590.37</v>
      </c>
      <c r="AC44">
        <v>497.81</v>
      </c>
      <c r="AD44">
        <v>0</v>
      </c>
      <c r="AE44">
        <v>0</v>
      </c>
      <c r="AF44">
        <v>1590.37</v>
      </c>
      <c r="AG44">
        <v>497.81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0.65</v>
      </c>
      <c r="AU44" t="s">
        <v>3</v>
      </c>
      <c r="AV44">
        <v>0</v>
      </c>
      <c r="AW44">
        <v>2</v>
      </c>
      <c r="AX44">
        <v>37602374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Y44*Source!I73</f>
        <v>8.4499999999999992E-3</v>
      </c>
      <c r="CY44">
        <f>AB44</f>
        <v>1590.37</v>
      </c>
      <c r="CZ44">
        <f>AF44</f>
        <v>1590.37</v>
      </c>
      <c r="DA44">
        <f>AJ44</f>
        <v>1</v>
      </c>
      <c r="DB44">
        <v>0</v>
      </c>
    </row>
    <row r="45" spans="1:106" x14ac:dyDescent="0.2">
      <c r="A45">
        <f>ROW(Source!A73)</f>
        <v>73</v>
      </c>
      <c r="B45">
        <v>37598633</v>
      </c>
      <c r="C45">
        <v>37600069</v>
      </c>
      <c r="D45">
        <v>34189650</v>
      </c>
      <c r="E45">
        <v>1</v>
      </c>
      <c r="F45">
        <v>1</v>
      </c>
      <c r="G45">
        <v>15</v>
      </c>
      <c r="H45">
        <v>3</v>
      </c>
      <c r="I45" t="s">
        <v>247</v>
      </c>
      <c r="J45" t="s">
        <v>248</v>
      </c>
      <c r="K45" t="s">
        <v>249</v>
      </c>
      <c r="L45">
        <v>1339</v>
      </c>
      <c r="N45">
        <v>1007</v>
      </c>
      <c r="O45" t="s">
        <v>115</v>
      </c>
      <c r="P45" t="s">
        <v>115</v>
      </c>
      <c r="Q45">
        <v>1</v>
      </c>
      <c r="W45">
        <v>0</v>
      </c>
      <c r="X45">
        <v>-1431983879</v>
      </c>
      <c r="Y45">
        <v>110</v>
      </c>
      <c r="AA45">
        <v>559.23</v>
      </c>
      <c r="AB45">
        <v>0</v>
      </c>
      <c r="AC45">
        <v>0</v>
      </c>
      <c r="AD45">
        <v>0</v>
      </c>
      <c r="AE45">
        <v>559.23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1</v>
      </c>
      <c r="AQ45">
        <v>0</v>
      </c>
      <c r="AR45">
        <v>0</v>
      </c>
      <c r="AS45" t="s">
        <v>3</v>
      </c>
      <c r="AT45">
        <v>110</v>
      </c>
      <c r="AU45" t="s">
        <v>3</v>
      </c>
      <c r="AV45">
        <v>0</v>
      </c>
      <c r="AW45">
        <v>2</v>
      </c>
      <c r="AX45">
        <v>37602375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Y45*Source!I73</f>
        <v>1.43</v>
      </c>
      <c r="CY45">
        <f>AA45</f>
        <v>559.23</v>
      </c>
      <c r="CZ45">
        <f>AE45</f>
        <v>559.23</v>
      </c>
      <c r="DA45">
        <f>AI45</f>
        <v>1</v>
      </c>
      <c r="DB45">
        <v>0</v>
      </c>
    </row>
    <row r="46" spans="1:106" x14ac:dyDescent="0.2">
      <c r="A46">
        <f>ROW(Source!A73)</f>
        <v>73</v>
      </c>
      <c r="B46">
        <v>37598633</v>
      </c>
      <c r="C46">
        <v>37600069</v>
      </c>
      <c r="D46">
        <v>34190363</v>
      </c>
      <c r="E46">
        <v>1</v>
      </c>
      <c r="F46">
        <v>1</v>
      </c>
      <c r="G46">
        <v>15</v>
      </c>
      <c r="H46">
        <v>3</v>
      </c>
      <c r="I46" t="s">
        <v>250</v>
      </c>
      <c r="J46" t="s">
        <v>251</v>
      </c>
      <c r="K46" t="s">
        <v>252</v>
      </c>
      <c r="L46">
        <v>1339</v>
      </c>
      <c r="N46">
        <v>1007</v>
      </c>
      <c r="O46" t="s">
        <v>115</v>
      </c>
      <c r="P46" t="s">
        <v>115</v>
      </c>
      <c r="Q46">
        <v>1</v>
      </c>
      <c r="W46">
        <v>0</v>
      </c>
      <c r="X46">
        <v>-156220903</v>
      </c>
      <c r="Y46">
        <v>5</v>
      </c>
      <c r="AA46">
        <v>28.77</v>
      </c>
      <c r="AB46">
        <v>0</v>
      </c>
      <c r="AC46">
        <v>0</v>
      </c>
      <c r="AD46">
        <v>0</v>
      </c>
      <c r="AE46">
        <v>28.77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1</v>
      </c>
      <c r="AQ46">
        <v>0</v>
      </c>
      <c r="AR46">
        <v>0</v>
      </c>
      <c r="AS46" t="s">
        <v>3</v>
      </c>
      <c r="AT46">
        <v>5</v>
      </c>
      <c r="AU46" t="s">
        <v>3</v>
      </c>
      <c r="AV46">
        <v>0</v>
      </c>
      <c r="AW46">
        <v>2</v>
      </c>
      <c r="AX46">
        <v>37602376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Y46*Source!I73</f>
        <v>6.5000000000000002E-2</v>
      </c>
      <c r="CY46">
        <f>AA46</f>
        <v>28.77</v>
      </c>
      <c r="CZ46">
        <f>AE46</f>
        <v>28.77</v>
      </c>
      <c r="DA46">
        <f>AI46</f>
        <v>1</v>
      </c>
      <c r="DB46">
        <v>0</v>
      </c>
    </row>
    <row r="47" spans="1:106" x14ac:dyDescent="0.2">
      <c r="A47">
        <f>ROW(Source!A74)</f>
        <v>74</v>
      </c>
      <c r="B47">
        <v>37598633</v>
      </c>
      <c r="C47">
        <v>37600086</v>
      </c>
      <c r="D47">
        <v>34176775</v>
      </c>
      <c r="E47">
        <v>15</v>
      </c>
      <c r="F47">
        <v>1</v>
      </c>
      <c r="G47">
        <v>15</v>
      </c>
      <c r="H47">
        <v>1</v>
      </c>
      <c r="I47" t="s">
        <v>213</v>
      </c>
      <c r="J47" t="s">
        <v>3</v>
      </c>
      <c r="K47" t="s">
        <v>214</v>
      </c>
      <c r="L47">
        <v>1191</v>
      </c>
      <c r="N47">
        <v>1013</v>
      </c>
      <c r="O47" t="s">
        <v>215</v>
      </c>
      <c r="P47" t="s">
        <v>215</v>
      </c>
      <c r="Q47">
        <v>1</v>
      </c>
      <c r="W47">
        <v>0</v>
      </c>
      <c r="X47">
        <v>476480486</v>
      </c>
      <c r="Y47">
        <v>24.84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24.84</v>
      </c>
      <c r="AU47" t="s">
        <v>3</v>
      </c>
      <c r="AV47">
        <v>1</v>
      </c>
      <c r="AW47">
        <v>2</v>
      </c>
      <c r="AX47">
        <v>37602377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Y47*Source!I74</f>
        <v>0.32291999999999998</v>
      </c>
      <c r="CY47">
        <f>AD47</f>
        <v>0</v>
      </c>
      <c r="CZ47">
        <f>AH47</f>
        <v>0</v>
      </c>
      <c r="DA47">
        <f>AL47</f>
        <v>1</v>
      </c>
      <c r="DB47">
        <v>0</v>
      </c>
    </row>
    <row r="48" spans="1:106" x14ac:dyDescent="0.2">
      <c r="A48">
        <f>ROW(Source!A74)</f>
        <v>74</v>
      </c>
      <c r="B48">
        <v>37598633</v>
      </c>
      <c r="C48">
        <v>37600086</v>
      </c>
      <c r="D48">
        <v>34188482</v>
      </c>
      <c r="E48">
        <v>1</v>
      </c>
      <c r="F48">
        <v>1</v>
      </c>
      <c r="G48">
        <v>15</v>
      </c>
      <c r="H48">
        <v>2</v>
      </c>
      <c r="I48" t="s">
        <v>253</v>
      </c>
      <c r="J48" t="s">
        <v>254</v>
      </c>
      <c r="K48" t="s">
        <v>255</v>
      </c>
      <c r="L48">
        <v>1368</v>
      </c>
      <c r="N48">
        <v>1011</v>
      </c>
      <c r="O48" t="s">
        <v>219</v>
      </c>
      <c r="P48" t="s">
        <v>219</v>
      </c>
      <c r="Q48">
        <v>1</v>
      </c>
      <c r="W48">
        <v>0</v>
      </c>
      <c r="X48">
        <v>-1514203159</v>
      </c>
      <c r="Y48">
        <v>2.94</v>
      </c>
      <c r="AA48">
        <v>0</v>
      </c>
      <c r="AB48">
        <v>711.82</v>
      </c>
      <c r="AC48">
        <v>363.48</v>
      </c>
      <c r="AD48">
        <v>0</v>
      </c>
      <c r="AE48">
        <v>0</v>
      </c>
      <c r="AF48">
        <v>711.82</v>
      </c>
      <c r="AG48">
        <v>363.48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2.94</v>
      </c>
      <c r="AU48" t="s">
        <v>3</v>
      </c>
      <c r="AV48">
        <v>0</v>
      </c>
      <c r="AW48">
        <v>2</v>
      </c>
      <c r="AX48">
        <v>37602378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Y48*Source!I74</f>
        <v>3.8219999999999997E-2</v>
      </c>
      <c r="CY48">
        <f t="shared" ref="CY48:CY53" si="6">AB48</f>
        <v>711.82</v>
      </c>
      <c r="CZ48">
        <f t="shared" ref="CZ48:CZ53" si="7">AF48</f>
        <v>711.82</v>
      </c>
      <c r="DA48">
        <f t="shared" ref="DA48:DA53" si="8">AJ48</f>
        <v>1</v>
      </c>
      <c r="DB48">
        <v>0</v>
      </c>
    </row>
    <row r="49" spans="1:106" x14ac:dyDescent="0.2">
      <c r="A49">
        <f>ROW(Source!A74)</f>
        <v>74</v>
      </c>
      <c r="B49">
        <v>37598633</v>
      </c>
      <c r="C49">
        <v>37600086</v>
      </c>
      <c r="D49">
        <v>34188303</v>
      </c>
      <c r="E49">
        <v>1</v>
      </c>
      <c r="F49">
        <v>1</v>
      </c>
      <c r="G49">
        <v>15</v>
      </c>
      <c r="H49">
        <v>2</v>
      </c>
      <c r="I49" t="s">
        <v>241</v>
      </c>
      <c r="J49" t="s">
        <v>242</v>
      </c>
      <c r="K49" t="s">
        <v>243</v>
      </c>
      <c r="L49">
        <v>1368</v>
      </c>
      <c r="N49">
        <v>1011</v>
      </c>
      <c r="O49" t="s">
        <v>219</v>
      </c>
      <c r="P49" t="s">
        <v>219</v>
      </c>
      <c r="Q49">
        <v>1</v>
      </c>
      <c r="W49">
        <v>0</v>
      </c>
      <c r="X49">
        <v>-422229590</v>
      </c>
      <c r="Y49">
        <v>1.1399999999999999</v>
      </c>
      <c r="AA49">
        <v>0</v>
      </c>
      <c r="AB49">
        <v>1527.34</v>
      </c>
      <c r="AC49">
        <v>334.88</v>
      </c>
      <c r="AD49">
        <v>0</v>
      </c>
      <c r="AE49">
        <v>0</v>
      </c>
      <c r="AF49">
        <v>1527.34</v>
      </c>
      <c r="AG49">
        <v>334.88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1.1399999999999999</v>
      </c>
      <c r="AU49" t="s">
        <v>3</v>
      </c>
      <c r="AV49">
        <v>0</v>
      </c>
      <c r="AW49">
        <v>2</v>
      </c>
      <c r="AX49">
        <v>37602379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Y49*Source!I74</f>
        <v>1.4819999999999998E-2</v>
      </c>
      <c r="CY49">
        <f t="shared" si="6"/>
        <v>1527.34</v>
      </c>
      <c r="CZ49">
        <f t="shared" si="7"/>
        <v>1527.34</v>
      </c>
      <c r="DA49">
        <f t="shared" si="8"/>
        <v>1</v>
      </c>
      <c r="DB49">
        <v>0</v>
      </c>
    </row>
    <row r="50" spans="1:106" x14ac:dyDescent="0.2">
      <c r="A50">
        <f>ROW(Source!A74)</f>
        <v>74</v>
      </c>
      <c r="B50">
        <v>37598633</v>
      </c>
      <c r="C50">
        <v>37600086</v>
      </c>
      <c r="D50">
        <v>34188322</v>
      </c>
      <c r="E50">
        <v>1</v>
      </c>
      <c r="F50">
        <v>1</v>
      </c>
      <c r="G50">
        <v>15</v>
      </c>
      <c r="H50">
        <v>2</v>
      </c>
      <c r="I50" t="s">
        <v>256</v>
      </c>
      <c r="J50" t="s">
        <v>257</v>
      </c>
      <c r="K50" t="s">
        <v>258</v>
      </c>
      <c r="L50">
        <v>1368</v>
      </c>
      <c r="N50">
        <v>1011</v>
      </c>
      <c r="O50" t="s">
        <v>219</v>
      </c>
      <c r="P50" t="s">
        <v>219</v>
      </c>
      <c r="Q50">
        <v>1</v>
      </c>
      <c r="W50">
        <v>0</v>
      </c>
      <c r="X50">
        <v>773118248</v>
      </c>
      <c r="Y50">
        <v>8.9600000000000009</v>
      </c>
      <c r="AA50">
        <v>0</v>
      </c>
      <c r="AB50">
        <v>984.76</v>
      </c>
      <c r="AC50">
        <v>387.07</v>
      </c>
      <c r="AD50">
        <v>0</v>
      </c>
      <c r="AE50">
        <v>0</v>
      </c>
      <c r="AF50">
        <v>984.76</v>
      </c>
      <c r="AG50">
        <v>387.07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8.9600000000000009</v>
      </c>
      <c r="AU50" t="s">
        <v>3</v>
      </c>
      <c r="AV50">
        <v>0</v>
      </c>
      <c r="AW50">
        <v>2</v>
      </c>
      <c r="AX50">
        <v>37602380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Y50*Source!I74</f>
        <v>0.11648</v>
      </c>
      <c r="CY50">
        <f t="shared" si="6"/>
        <v>984.76</v>
      </c>
      <c r="CZ50">
        <f t="shared" si="7"/>
        <v>984.76</v>
      </c>
      <c r="DA50">
        <f t="shared" si="8"/>
        <v>1</v>
      </c>
      <c r="DB50">
        <v>0</v>
      </c>
    </row>
    <row r="51" spans="1:106" x14ac:dyDescent="0.2">
      <c r="A51">
        <f>ROW(Source!A74)</f>
        <v>74</v>
      </c>
      <c r="B51">
        <v>37598633</v>
      </c>
      <c r="C51">
        <v>37600086</v>
      </c>
      <c r="D51">
        <v>34188321</v>
      </c>
      <c r="E51">
        <v>1</v>
      </c>
      <c r="F51">
        <v>1</v>
      </c>
      <c r="G51">
        <v>15</v>
      </c>
      <c r="H51">
        <v>2</v>
      </c>
      <c r="I51" t="s">
        <v>259</v>
      </c>
      <c r="J51" t="s">
        <v>260</v>
      </c>
      <c r="K51" t="s">
        <v>261</v>
      </c>
      <c r="L51">
        <v>1368</v>
      </c>
      <c r="N51">
        <v>1011</v>
      </c>
      <c r="O51" t="s">
        <v>219</v>
      </c>
      <c r="P51" t="s">
        <v>219</v>
      </c>
      <c r="Q51">
        <v>1</v>
      </c>
      <c r="W51">
        <v>0</v>
      </c>
      <c r="X51">
        <v>867169437</v>
      </c>
      <c r="Y51">
        <v>18.25</v>
      </c>
      <c r="AA51">
        <v>0</v>
      </c>
      <c r="AB51">
        <v>1482.31</v>
      </c>
      <c r="AC51">
        <v>526.20000000000005</v>
      </c>
      <c r="AD51">
        <v>0</v>
      </c>
      <c r="AE51">
        <v>0</v>
      </c>
      <c r="AF51">
        <v>1482.31</v>
      </c>
      <c r="AG51">
        <v>526.20000000000005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18.25</v>
      </c>
      <c r="AU51" t="s">
        <v>3</v>
      </c>
      <c r="AV51">
        <v>0</v>
      </c>
      <c r="AW51">
        <v>2</v>
      </c>
      <c r="AX51">
        <v>37602381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Y51*Source!I74</f>
        <v>0.23724999999999999</v>
      </c>
      <c r="CY51">
        <f t="shared" si="6"/>
        <v>1482.31</v>
      </c>
      <c r="CZ51">
        <f t="shared" si="7"/>
        <v>1482.31</v>
      </c>
      <c r="DA51">
        <f t="shared" si="8"/>
        <v>1</v>
      </c>
      <c r="DB51">
        <v>0</v>
      </c>
    </row>
    <row r="52" spans="1:106" x14ac:dyDescent="0.2">
      <c r="A52">
        <f>ROW(Source!A74)</f>
        <v>74</v>
      </c>
      <c r="B52">
        <v>37598633</v>
      </c>
      <c r="C52">
        <v>37600086</v>
      </c>
      <c r="D52">
        <v>34188265</v>
      </c>
      <c r="E52">
        <v>1</v>
      </c>
      <c r="F52">
        <v>1</v>
      </c>
      <c r="G52">
        <v>15</v>
      </c>
      <c r="H52">
        <v>2</v>
      </c>
      <c r="I52" t="s">
        <v>223</v>
      </c>
      <c r="J52" t="s">
        <v>224</v>
      </c>
      <c r="K52" t="s">
        <v>225</v>
      </c>
      <c r="L52">
        <v>1368</v>
      </c>
      <c r="N52">
        <v>1011</v>
      </c>
      <c r="O52" t="s">
        <v>219</v>
      </c>
      <c r="P52" t="s">
        <v>219</v>
      </c>
      <c r="Q52">
        <v>1</v>
      </c>
      <c r="W52">
        <v>0</v>
      </c>
      <c r="X52">
        <v>-1706694778</v>
      </c>
      <c r="Y52">
        <v>2.2400000000000002</v>
      </c>
      <c r="AA52">
        <v>0</v>
      </c>
      <c r="AB52">
        <v>1142.6300000000001</v>
      </c>
      <c r="AC52">
        <v>468.35</v>
      </c>
      <c r="AD52">
        <v>0</v>
      </c>
      <c r="AE52">
        <v>0</v>
      </c>
      <c r="AF52">
        <v>1142.6300000000001</v>
      </c>
      <c r="AG52">
        <v>468.35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2.2400000000000002</v>
      </c>
      <c r="AU52" t="s">
        <v>3</v>
      </c>
      <c r="AV52">
        <v>0</v>
      </c>
      <c r="AW52">
        <v>2</v>
      </c>
      <c r="AX52">
        <v>37602382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Y52*Source!I74</f>
        <v>2.912E-2</v>
      </c>
      <c r="CY52">
        <f t="shared" si="6"/>
        <v>1142.6300000000001</v>
      </c>
      <c r="CZ52">
        <f t="shared" si="7"/>
        <v>1142.6300000000001</v>
      </c>
      <c r="DA52">
        <f t="shared" si="8"/>
        <v>1</v>
      </c>
      <c r="DB52">
        <v>0</v>
      </c>
    </row>
    <row r="53" spans="1:106" x14ac:dyDescent="0.2">
      <c r="A53">
        <f>ROW(Source!A74)</f>
        <v>74</v>
      </c>
      <c r="B53">
        <v>37598633</v>
      </c>
      <c r="C53">
        <v>37600086</v>
      </c>
      <c r="D53">
        <v>34188313</v>
      </c>
      <c r="E53">
        <v>1</v>
      </c>
      <c r="F53">
        <v>1</v>
      </c>
      <c r="G53">
        <v>15</v>
      </c>
      <c r="H53">
        <v>2</v>
      </c>
      <c r="I53" t="s">
        <v>244</v>
      </c>
      <c r="J53" t="s">
        <v>245</v>
      </c>
      <c r="K53" t="s">
        <v>246</v>
      </c>
      <c r="L53">
        <v>1368</v>
      </c>
      <c r="N53">
        <v>1011</v>
      </c>
      <c r="O53" t="s">
        <v>219</v>
      </c>
      <c r="P53" t="s">
        <v>219</v>
      </c>
      <c r="Q53">
        <v>1</v>
      </c>
      <c r="W53">
        <v>0</v>
      </c>
      <c r="X53">
        <v>-882610335</v>
      </c>
      <c r="Y53">
        <v>0.65</v>
      </c>
      <c r="AA53">
        <v>0</v>
      </c>
      <c r="AB53">
        <v>1590.37</v>
      </c>
      <c r="AC53">
        <v>497.81</v>
      </c>
      <c r="AD53">
        <v>0</v>
      </c>
      <c r="AE53">
        <v>0</v>
      </c>
      <c r="AF53">
        <v>1590.37</v>
      </c>
      <c r="AG53">
        <v>497.81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0.65</v>
      </c>
      <c r="AU53" t="s">
        <v>3</v>
      </c>
      <c r="AV53">
        <v>0</v>
      </c>
      <c r="AW53">
        <v>2</v>
      </c>
      <c r="AX53">
        <v>37602383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Y53*Source!I74</f>
        <v>8.4499999999999992E-3</v>
      </c>
      <c r="CY53">
        <f t="shared" si="6"/>
        <v>1590.37</v>
      </c>
      <c r="CZ53">
        <f t="shared" si="7"/>
        <v>1590.37</v>
      </c>
      <c r="DA53">
        <f t="shared" si="8"/>
        <v>1</v>
      </c>
      <c r="DB53">
        <v>0</v>
      </c>
    </row>
    <row r="54" spans="1:106" x14ac:dyDescent="0.2">
      <c r="A54">
        <f>ROW(Source!A74)</f>
        <v>74</v>
      </c>
      <c r="B54">
        <v>37598633</v>
      </c>
      <c r="C54">
        <v>37600086</v>
      </c>
      <c r="D54">
        <v>34189676</v>
      </c>
      <c r="E54">
        <v>1</v>
      </c>
      <c r="F54">
        <v>1</v>
      </c>
      <c r="G54">
        <v>15</v>
      </c>
      <c r="H54">
        <v>3</v>
      </c>
      <c r="I54" t="s">
        <v>262</v>
      </c>
      <c r="J54" t="s">
        <v>263</v>
      </c>
      <c r="K54" t="s">
        <v>264</v>
      </c>
      <c r="L54">
        <v>1339</v>
      </c>
      <c r="N54">
        <v>1007</v>
      </c>
      <c r="O54" t="s">
        <v>115</v>
      </c>
      <c r="P54" t="s">
        <v>115</v>
      </c>
      <c r="Q54">
        <v>1</v>
      </c>
      <c r="W54">
        <v>0</v>
      </c>
      <c r="X54">
        <v>812099054</v>
      </c>
      <c r="Y54">
        <v>126</v>
      </c>
      <c r="AA54">
        <v>1910.98</v>
      </c>
      <c r="AB54">
        <v>0</v>
      </c>
      <c r="AC54">
        <v>0</v>
      </c>
      <c r="AD54">
        <v>0</v>
      </c>
      <c r="AE54">
        <v>1910.98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1</v>
      </c>
      <c r="AQ54">
        <v>0</v>
      </c>
      <c r="AR54">
        <v>0</v>
      </c>
      <c r="AS54" t="s">
        <v>3</v>
      </c>
      <c r="AT54">
        <v>126</v>
      </c>
      <c r="AU54" t="s">
        <v>3</v>
      </c>
      <c r="AV54">
        <v>0</v>
      </c>
      <c r="AW54">
        <v>2</v>
      </c>
      <c r="AX54">
        <v>37602384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Y54*Source!I74</f>
        <v>1.6379999999999999</v>
      </c>
      <c r="CY54">
        <f>AA54</f>
        <v>1910.98</v>
      </c>
      <c r="CZ54">
        <f>AE54</f>
        <v>1910.98</v>
      </c>
      <c r="DA54">
        <f>AI54</f>
        <v>1</v>
      </c>
      <c r="DB54">
        <v>0</v>
      </c>
    </row>
    <row r="55" spans="1:106" x14ac:dyDescent="0.2">
      <c r="A55">
        <f>ROW(Source!A74)</f>
        <v>74</v>
      </c>
      <c r="B55">
        <v>37598633</v>
      </c>
      <c r="C55">
        <v>37600086</v>
      </c>
      <c r="D55">
        <v>34190363</v>
      </c>
      <c r="E55">
        <v>1</v>
      </c>
      <c r="F55">
        <v>1</v>
      </c>
      <c r="G55">
        <v>15</v>
      </c>
      <c r="H55">
        <v>3</v>
      </c>
      <c r="I55" t="s">
        <v>250</v>
      </c>
      <c r="J55" t="s">
        <v>251</v>
      </c>
      <c r="K55" t="s">
        <v>252</v>
      </c>
      <c r="L55">
        <v>1339</v>
      </c>
      <c r="N55">
        <v>1007</v>
      </c>
      <c r="O55" t="s">
        <v>115</v>
      </c>
      <c r="P55" t="s">
        <v>115</v>
      </c>
      <c r="Q55">
        <v>1</v>
      </c>
      <c r="W55">
        <v>0</v>
      </c>
      <c r="X55">
        <v>-156220903</v>
      </c>
      <c r="Y55">
        <v>7</v>
      </c>
      <c r="AA55">
        <v>28.77</v>
      </c>
      <c r="AB55">
        <v>0</v>
      </c>
      <c r="AC55">
        <v>0</v>
      </c>
      <c r="AD55">
        <v>0</v>
      </c>
      <c r="AE55">
        <v>28.77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S55" t="s">
        <v>3</v>
      </c>
      <c r="AT55">
        <v>7</v>
      </c>
      <c r="AU55" t="s">
        <v>3</v>
      </c>
      <c r="AV55">
        <v>0</v>
      </c>
      <c r="AW55">
        <v>2</v>
      </c>
      <c r="AX55">
        <v>37602385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Y55*Source!I74</f>
        <v>9.0999999999999998E-2</v>
      </c>
      <c r="CY55">
        <f>AA55</f>
        <v>28.77</v>
      </c>
      <c r="CZ55">
        <f>AE55</f>
        <v>28.77</v>
      </c>
      <c r="DA55">
        <f>AI55</f>
        <v>1</v>
      </c>
      <c r="DB55">
        <v>0</v>
      </c>
    </row>
    <row r="56" spans="1:106" x14ac:dyDescent="0.2">
      <c r="A56">
        <f>ROW(Source!A75)</f>
        <v>75</v>
      </c>
      <c r="B56">
        <v>37598633</v>
      </c>
      <c r="C56">
        <v>37600105</v>
      </c>
      <c r="D56">
        <v>34176775</v>
      </c>
      <c r="E56">
        <v>15</v>
      </c>
      <c r="F56">
        <v>1</v>
      </c>
      <c r="G56">
        <v>15</v>
      </c>
      <c r="H56">
        <v>1</v>
      </c>
      <c r="I56" t="s">
        <v>213</v>
      </c>
      <c r="J56" t="s">
        <v>3</v>
      </c>
      <c r="K56" t="s">
        <v>214</v>
      </c>
      <c r="L56">
        <v>1191</v>
      </c>
      <c r="N56">
        <v>1013</v>
      </c>
      <c r="O56" t="s">
        <v>215</v>
      </c>
      <c r="P56" t="s">
        <v>215</v>
      </c>
      <c r="Q56">
        <v>1</v>
      </c>
      <c r="W56">
        <v>0</v>
      </c>
      <c r="X56">
        <v>476480486</v>
      </c>
      <c r="Y56">
        <v>13.57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13.57</v>
      </c>
      <c r="AU56" t="s">
        <v>3</v>
      </c>
      <c r="AV56">
        <v>1</v>
      </c>
      <c r="AW56">
        <v>2</v>
      </c>
      <c r="AX56">
        <v>37602386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Y56*Source!I75</f>
        <v>1.7641</v>
      </c>
      <c r="CY56">
        <f>AD56</f>
        <v>0</v>
      </c>
      <c r="CZ56">
        <f>AH56</f>
        <v>0</v>
      </c>
      <c r="DA56">
        <f>AL56</f>
        <v>1</v>
      </c>
      <c r="DB56">
        <v>0</v>
      </c>
    </row>
    <row r="57" spans="1:106" x14ac:dyDescent="0.2">
      <c r="A57">
        <f>ROW(Source!A75)</f>
        <v>75</v>
      </c>
      <c r="B57">
        <v>37598633</v>
      </c>
      <c r="C57">
        <v>37600105</v>
      </c>
      <c r="D57">
        <v>34188316</v>
      </c>
      <c r="E57">
        <v>1</v>
      </c>
      <c r="F57">
        <v>1</v>
      </c>
      <c r="G57">
        <v>15</v>
      </c>
      <c r="H57">
        <v>2</v>
      </c>
      <c r="I57" t="s">
        <v>265</v>
      </c>
      <c r="J57" t="s">
        <v>266</v>
      </c>
      <c r="K57" t="s">
        <v>267</v>
      </c>
      <c r="L57">
        <v>1368</v>
      </c>
      <c r="N57">
        <v>1011</v>
      </c>
      <c r="O57" t="s">
        <v>219</v>
      </c>
      <c r="P57" t="s">
        <v>219</v>
      </c>
      <c r="Q57">
        <v>1</v>
      </c>
      <c r="W57">
        <v>0</v>
      </c>
      <c r="X57">
        <v>1511709852</v>
      </c>
      <c r="Y57">
        <v>0.46</v>
      </c>
      <c r="AA57">
        <v>0</v>
      </c>
      <c r="AB57">
        <v>628.07000000000005</v>
      </c>
      <c r="AC57">
        <v>377.51</v>
      </c>
      <c r="AD57">
        <v>0</v>
      </c>
      <c r="AE57">
        <v>0</v>
      </c>
      <c r="AF57">
        <v>628.07000000000005</v>
      </c>
      <c r="AG57">
        <v>377.51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0.46</v>
      </c>
      <c r="AU57" t="s">
        <v>3</v>
      </c>
      <c r="AV57">
        <v>0</v>
      </c>
      <c r="AW57">
        <v>2</v>
      </c>
      <c r="AX57">
        <v>37602387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Y57*Source!I75</f>
        <v>5.9800000000000006E-2</v>
      </c>
      <c r="CY57">
        <f>AB57</f>
        <v>628.07000000000005</v>
      </c>
      <c r="CZ57">
        <f>AF57</f>
        <v>628.07000000000005</v>
      </c>
      <c r="DA57">
        <f>AJ57</f>
        <v>1</v>
      </c>
      <c r="DB57">
        <v>0</v>
      </c>
    </row>
    <row r="58" spans="1:106" x14ac:dyDescent="0.2">
      <c r="A58">
        <f>ROW(Source!A75)</f>
        <v>75</v>
      </c>
      <c r="B58">
        <v>37598633</v>
      </c>
      <c r="C58">
        <v>37600105</v>
      </c>
      <c r="D58">
        <v>34188315</v>
      </c>
      <c r="E58">
        <v>1</v>
      </c>
      <c r="F58">
        <v>1</v>
      </c>
      <c r="G58">
        <v>15</v>
      </c>
      <c r="H58">
        <v>2</v>
      </c>
      <c r="I58" t="s">
        <v>268</v>
      </c>
      <c r="J58" t="s">
        <v>269</v>
      </c>
      <c r="K58" t="s">
        <v>270</v>
      </c>
      <c r="L58">
        <v>1368</v>
      </c>
      <c r="N58">
        <v>1011</v>
      </c>
      <c r="O58" t="s">
        <v>219</v>
      </c>
      <c r="P58" t="s">
        <v>219</v>
      </c>
      <c r="Q58">
        <v>1</v>
      </c>
      <c r="W58">
        <v>0</v>
      </c>
      <c r="X58">
        <v>941035487</v>
      </c>
      <c r="Y58">
        <v>1.39</v>
      </c>
      <c r="AA58">
        <v>0</v>
      </c>
      <c r="AB58">
        <v>681</v>
      </c>
      <c r="AC58">
        <v>389.98</v>
      </c>
      <c r="AD58">
        <v>0</v>
      </c>
      <c r="AE58">
        <v>0</v>
      </c>
      <c r="AF58">
        <v>681</v>
      </c>
      <c r="AG58">
        <v>389.98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1.39</v>
      </c>
      <c r="AU58" t="s">
        <v>3</v>
      </c>
      <c r="AV58">
        <v>0</v>
      </c>
      <c r="AW58">
        <v>2</v>
      </c>
      <c r="AX58">
        <v>37602388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Y58*Source!I75</f>
        <v>0.1807</v>
      </c>
      <c r="CY58">
        <f>AB58</f>
        <v>681</v>
      </c>
      <c r="CZ58">
        <f>AF58</f>
        <v>681</v>
      </c>
      <c r="DA58">
        <f>AJ58</f>
        <v>1</v>
      </c>
      <c r="DB58">
        <v>0</v>
      </c>
    </row>
    <row r="59" spans="1:106" x14ac:dyDescent="0.2">
      <c r="A59">
        <f>ROW(Source!A75)</f>
        <v>75</v>
      </c>
      <c r="B59">
        <v>37598633</v>
      </c>
      <c r="C59">
        <v>37600105</v>
      </c>
      <c r="D59">
        <v>34191424</v>
      </c>
      <c r="E59">
        <v>1</v>
      </c>
      <c r="F59">
        <v>1</v>
      </c>
      <c r="G59">
        <v>15</v>
      </c>
      <c r="H59">
        <v>3</v>
      </c>
      <c r="I59" t="s">
        <v>271</v>
      </c>
      <c r="J59" t="s">
        <v>272</v>
      </c>
      <c r="K59" t="s">
        <v>273</v>
      </c>
      <c r="L59">
        <v>1348</v>
      </c>
      <c r="N59">
        <v>1009</v>
      </c>
      <c r="O59" t="s">
        <v>29</v>
      </c>
      <c r="P59" t="s">
        <v>29</v>
      </c>
      <c r="Q59">
        <v>1000</v>
      </c>
      <c r="W59">
        <v>0</v>
      </c>
      <c r="X59">
        <v>58957476</v>
      </c>
      <c r="Y59">
        <v>11.975</v>
      </c>
      <c r="AA59">
        <v>2314.4499999999998</v>
      </c>
      <c r="AB59">
        <v>0</v>
      </c>
      <c r="AC59">
        <v>0</v>
      </c>
      <c r="AD59">
        <v>0</v>
      </c>
      <c r="AE59">
        <v>2314.4499999999998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S59" t="s">
        <v>3</v>
      </c>
      <c r="AT59">
        <v>9.58</v>
      </c>
      <c r="AU59" t="s">
        <v>54</v>
      </c>
      <c r="AV59">
        <v>0</v>
      </c>
      <c r="AW59">
        <v>2</v>
      </c>
      <c r="AX59">
        <v>37602389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Y59*Source!I75</f>
        <v>1.5567500000000001</v>
      </c>
      <c r="CY59">
        <f>AA59</f>
        <v>2314.4499999999998</v>
      </c>
      <c r="CZ59">
        <f>AE59</f>
        <v>2314.4499999999998</v>
      </c>
      <c r="DA59">
        <f>AI59</f>
        <v>1</v>
      </c>
      <c r="DB59">
        <v>0</v>
      </c>
    </row>
    <row r="60" spans="1:106" x14ac:dyDescent="0.2">
      <c r="A60">
        <f>ROW(Source!A110)</f>
        <v>110</v>
      </c>
      <c r="B60">
        <v>37598633</v>
      </c>
      <c r="C60">
        <v>37600114</v>
      </c>
      <c r="D60">
        <v>34176775</v>
      </c>
      <c r="E60">
        <v>15</v>
      </c>
      <c r="F60">
        <v>1</v>
      </c>
      <c r="G60">
        <v>15</v>
      </c>
      <c r="H60">
        <v>1</v>
      </c>
      <c r="I60" t="s">
        <v>213</v>
      </c>
      <c r="J60" t="s">
        <v>3</v>
      </c>
      <c r="K60" t="s">
        <v>214</v>
      </c>
      <c r="L60">
        <v>1191</v>
      </c>
      <c r="N60">
        <v>1013</v>
      </c>
      <c r="O60" t="s">
        <v>215</v>
      </c>
      <c r="P60" t="s">
        <v>215</v>
      </c>
      <c r="Q60">
        <v>1</v>
      </c>
      <c r="W60">
        <v>0</v>
      </c>
      <c r="X60">
        <v>476480486</v>
      </c>
      <c r="Y60">
        <v>155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155</v>
      </c>
      <c r="AU60" t="s">
        <v>3</v>
      </c>
      <c r="AV60">
        <v>1</v>
      </c>
      <c r="AW60">
        <v>2</v>
      </c>
      <c r="AX60">
        <v>37602394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Y60*Source!I110</f>
        <v>6.5875000000000004</v>
      </c>
      <c r="CY60">
        <f>AD60</f>
        <v>0</v>
      </c>
      <c r="CZ60">
        <f>AH60</f>
        <v>0</v>
      </c>
      <c r="DA60">
        <f>AL60</f>
        <v>1</v>
      </c>
      <c r="DB60">
        <v>0</v>
      </c>
    </row>
    <row r="61" spans="1:106" x14ac:dyDescent="0.2">
      <c r="A61">
        <f>ROW(Source!A110)</f>
        <v>110</v>
      </c>
      <c r="B61">
        <v>37598633</v>
      </c>
      <c r="C61">
        <v>37600114</v>
      </c>
      <c r="D61">
        <v>34188152</v>
      </c>
      <c r="E61">
        <v>1</v>
      </c>
      <c r="F61">
        <v>1</v>
      </c>
      <c r="G61">
        <v>15</v>
      </c>
      <c r="H61">
        <v>2</v>
      </c>
      <c r="I61" t="s">
        <v>216</v>
      </c>
      <c r="J61" t="s">
        <v>217</v>
      </c>
      <c r="K61" t="s">
        <v>218</v>
      </c>
      <c r="L61">
        <v>1368</v>
      </c>
      <c r="N61">
        <v>1011</v>
      </c>
      <c r="O61" t="s">
        <v>219</v>
      </c>
      <c r="P61" t="s">
        <v>219</v>
      </c>
      <c r="Q61">
        <v>1</v>
      </c>
      <c r="W61">
        <v>0</v>
      </c>
      <c r="X61">
        <v>762600024</v>
      </c>
      <c r="Y61">
        <v>37.5</v>
      </c>
      <c r="AA61">
        <v>0</v>
      </c>
      <c r="AB61">
        <v>566.36</v>
      </c>
      <c r="AC61">
        <v>309.02999999999997</v>
      </c>
      <c r="AD61">
        <v>0</v>
      </c>
      <c r="AE61">
        <v>0</v>
      </c>
      <c r="AF61">
        <v>566.36</v>
      </c>
      <c r="AG61">
        <v>309.02999999999997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37.5</v>
      </c>
      <c r="AU61" t="s">
        <v>3</v>
      </c>
      <c r="AV61">
        <v>0</v>
      </c>
      <c r="AW61">
        <v>2</v>
      </c>
      <c r="AX61">
        <v>37602395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Y61*Source!I110</f>
        <v>1.5937500000000002</v>
      </c>
      <c r="CY61">
        <f>AB61</f>
        <v>566.36</v>
      </c>
      <c r="CZ61">
        <f>AF61</f>
        <v>566.36</v>
      </c>
      <c r="DA61">
        <f>AJ61</f>
        <v>1</v>
      </c>
      <c r="DB61">
        <v>0</v>
      </c>
    </row>
    <row r="62" spans="1:106" x14ac:dyDescent="0.2">
      <c r="A62">
        <f>ROW(Source!A110)</f>
        <v>110</v>
      </c>
      <c r="B62">
        <v>37598633</v>
      </c>
      <c r="C62">
        <v>37600114</v>
      </c>
      <c r="D62">
        <v>34187711</v>
      </c>
      <c r="E62">
        <v>1</v>
      </c>
      <c r="F62">
        <v>1</v>
      </c>
      <c r="G62">
        <v>15</v>
      </c>
      <c r="H62">
        <v>2</v>
      </c>
      <c r="I62" t="s">
        <v>220</v>
      </c>
      <c r="J62" t="s">
        <v>221</v>
      </c>
      <c r="K62" t="s">
        <v>222</v>
      </c>
      <c r="L62">
        <v>1368</v>
      </c>
      <c r="N62">
        <v>1011</v>
      </c>
      <c r="O62" t="s">
        <v>219</v>
      </c>
      <c r="P62" t="s">
        <v>219</v>
      </c>
      <c r="Q62">
        <v>1</v>
      </c>
      <c r="W62">
        <v>0</v>
      </c>
      <c r="X62">
        <v>-403199405</v>
      </c>
      <c r="Y62">
        <v>75</v>
      </c>
      <c r="AA62">
        <v>0</v>
      </c>
      <c r="AB62">
        <v>4.95</v>
      </c>
      <c r="AC62">
        <v>0.82</v>
      </c>
      <c r="AD62">
        <v>0</v>
      </c>
      <c r="AE62">
        <v>0</v>
      </c>
      <c r="AF62">
        <v>4.95</v>
      </c>
      <c r="AG62">
        <v>0.82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75</v>
      </c>
      <c r="AU62" t="s">
        <v>3</v>
      </c>
      <c r="AV62">
        <v>0</v>
      </c>
      <c r="AW62">
        <v>2</v>
      </c>
      <c r="AX62">
        <v>37602396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Y62*Source!I110</f>
        <v>3.1875000000000004</v>
      </c>
      <c r="CY62">
        <f>AB62</f>
        <v>4.95</v>
      </c>
      <c r="CZ62">
        <f>AF62</f>
        <v>4.95</v>
      </c>
      <c r="DA62">
        <f>AJ62</f>
        <v>1</v>
      </c>
      <c r="DB62">
        <v>0</v>
      </c>
    </row>
    <row r="63" spans="1:106" x14ac:dyDescent="0.2">
      <c r="A63">
        <f>ROW(Source!A110)</f>
        <v>110</v>
      </c>
      <c r="B63">
        <v>37598633</v>
      </c>
      <c r="C63">
        <v>37600114</v>
      </c>
      <c r="D63">
        <v>34188265</v>
      </c>
      <c r="E63">
        <v>1</v>
      </c>
      <c r="F63">
        <v>1</v>
      </c>
      <c r="G63">
        <v>15</v>
      </c>
      <c r="H63">
        <v>2</v>
      </c>
      <c r="I63" t="s">
        <v>223</v>
      </c>
      <c r="J63" t="s">
        <v>224</v>
      </c>
      <c r="K63" t="s">
        <v>225</v>
      </c>
      <c r="L63">
        <v>1368</v>
      </c>
      <c r="N63">
        <v>1011</v>
      </c>
      <c r="O63" t="s">
        <v>219</v>
      </c>
      <c r="P63" t="s">
        <v>219</v>
      </c>
      <c r="Q63">
        <v>1</v>
      </c>
      <c r="W63">
        <v>0</v>
      </c>
      <c r="X63">
        <v>-1706694778</v>
      </c>
      <c r="Y63">
        <v>1.55</v>
      </c>
      <c r="AA63">
        <v>0</v>
      </c>
      <c r="AB63">
        <v>1142.6300000000001</v>
      </c>
      <c r="AC63">
        <v>468.35</v>
      </c>
      <c r="AD63">
        <v>0</v>
      </c>
      <c r="AE63">
        <v>0</v>
      </c>
      <c r="AF63">
        <v>1142.6300000000001</v>
      </c>
      <c r="AG63">
        <v>468.35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1.55</v>
      </c>
      <c r="AU63" t="s">
        <v>3</v>
      </c>
      <c r="AV63">
        <v>0</v>
      </c>
      <c r="AW63">
        <v>2</v>
      </c>
      <c r="AX63">
        <v>37602397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Y63*Source!I110</f>
        <v>6.5875000000000003E-2</v>
      </c>
      <c r="CY63">
        <f>AB63</f>
        <v>1142.6300000000001</v>
      </c>
      <c r="CZ63">
        <f>AF63</f>
        <v>1142.6300000000001</v>
      </c>
      <c r="DA63">
        <f>AJ63</f>
        <v>1</v>
      </c>
      <c r="DB63">
        <v>0</v>
      </c>
    </row>
    <row r="64" spans="1:106" x14ac:dyDescent="0.2">
      <c r="A64">
        <f>ROW(Source!A111)</f>
        <v>111</v>
      </c>
      <c r="B64">
        <v>37598633</v>
      </c>
      <c r="C64">
        <v>37600123</v>
      </c>
      <c r="D64">
        <v>34176775</v>
      </c>
      <c r="E64">
        <v>15</v>
      </c>
      <c r="F64">
        <v>1</v>
      </c>
      <c r="G64">
        <v>15</v>
      </c>
      <c r="H64">
        <v>1</v>
      </c>
      <c r="I64" t="s">
        <v>213</v>
      </c>
      <c r="J64" t="s">
        <v>3</v>
      </c>
      <c r="K64" t="s">
        <v>214</v>
      </c>
      <c r="L64">
        <v>1191</v>
      </c>
      <c r="N64">
        <v>1013</v>
      </c>
      <c r="O64" t="s">
        <v>215</v>
      </c>
      <c r="P64" t="s">
        <v>215</v>
      </c>
      <c r="Q64">
        <v>1</v>
      </c>
      <c r="W64">
        <v>0</v>
      </c>
      <c r="X64">
        <v>476480486</v>
      </c>
      <c r="Y64">
        <v>11.7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11.7</v>
      </c>
      <c r="AU64" t="s">
        <v>3</v>
      </c>
      <c r="AV64">
        <v>1</v>
      </c>
      <c r="AW64">
        <v>2</v>
      </c>
      <c r="AX64">
        <v>37602398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Y64*Source!I111</f>
        <v>2.4862499999999996</v>
      </c>
      <c r="CY64">
        <f>AD64</f>
        <v>0</v>
      </c>
      <c r="CZ64">
        <f>AH64</f>
        <v>0</v>
      </c>
      <c r="DA64">
        <f>AL64</f>
        <v>1</v>
      </c>
      <c r="DB64">
        <v>0</v>
      </c>
    </row>
    <row r="65" spans="1:106" x14ac:dyDescent="0.2">
      <c r="A65">
        <f>ROW(Source!A111)</f>
        <v>111</v>
      </c>
      <c r="B65">
        <v>37598633</v>
      </c>
      <c r="C65">
        <v>37600123</v>
      </c>
      <c r="D65">
        <v>34188463</v>
      </c>
      <c r="E65">
        <v>1</v>
      </c>
      <c r="F65">
        <v>1</v>
      </c>
      <c r="G65">
        <v>15</v>
      </c>
      <c r="H65">
        <v>2</v>
      </c>
      <c r="I65" t="s">
        <v>226</v>
      </c>
      <c r="J65" t="s">
        <v>227</v>
      </c>
      <c r="K65" t="s">
        <v>228</v>
      </c>
      <c r="L65">
        <v>1368</v>
      </c>
      <c r="N65">
        <v>1011</v>
      </c>
      <c r="O65" t="s">
        <v>219</v>
      </c>
      <c r="P65" t="s">
        <v>219</v>
      </c>
      <c r="Q65">
        <v>1</v>
      </c>
      <c r="W65">
        <v>0</v>
      </c>
      <c r="X65">
        <v>1482077759</v>
      </c>
      <c r="Y65">
        <v>1.26</v>
      </c>
      <c r="AA65">
        <v>0</v>
      </c>
      <c r="AB65">
        <v>936.41</v>
      </c>
      <c r="AC65">
        <v>403.45</v>
      </c>
      <c r="AD65">
        <v>0</v>
      </c>
      <c r="AE65">
        <v>0</v>
      </c>
      <c r="AF65">
        <v>936.41</v>
      </c>
      <c r="AG65">
        <v>403.45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1.26</v>
      </c>
      <c r="AU65" t="s">
        <v>3</v>
      </c>
      <c r="AV65">
        <v>0</v>
      </c>
      <c r="AW65">
        <v>2</v>
      </c>
      <c r="AX65">
        <v>37602399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Y65*Source!I111</f>
        <v>0.26774999999999999</v>
      </c>
      <c r="CY65">
        <f t="shared" ref="CY65:CY71" si="9">AB65</f>
        <v>936.41</v>
      </c>
      <c r="CZ65">
        <f t="shared" ref="CZ65:CZ71" si="10">AF65</f>
        <v>936.41</v>
      </c>
      <c r="DA65">
        <f t="shared" ref="DA65:DA71" si="11">AJ65</f>
        <v>1</v>
      </c>
      <c r="DB65">
        <v>0</v>
      </c>
    </row>
    <row r="66" spans="1:106" x14ac:dyDescent="0.2">
      <c r="A66">
        <f>ROW(Source!A111)</f>
        <v>111</v>
      </c>
      <c r="B66">
        <v>37598633</v>
      </c>
      <c r="C66">
        <v>37600123</v>
      </c>
      <c r="D66">
        <v>34188265</v>
      </c>
      <c r="E66">
        <v>1</v>
      </c>
      <c r="F66">
        <v>1</v>
      </c>
      <c r="G66">
        <v>15</v>
      </c>
      <c r="H66">
        <v>2</v>
      </c>
      <c r="I66" t="s">
        <v>223</v>
      </c>
      <c r="J66" t="s">
        <v>224</v>
      </c>
      <c r="K66" t="s">
        <v>225</v>
      </c>
      <c r="L66">
        <v>1368</v>
      </c>
      <c r="N66">
        <v>1011</v>
      </c>
      <c r="O66" t="s">
        <v>219</v>
      </c>
      <c r="P66" t="s">
        <v>219</v>
      </c>
      <c r="Q66">
        <v>1</v>
      </c>
      <c r="W66">
        <v>0</v>
      </c>
      <c r="X66">
        <v>-1706694778</v>
      </c>
      <c r="Y66">
        <v>1.7</v>
      </c>
      <c r="AA66">
        <v>0</v>
      </c>
      <c r="AB66">
        <v>1142.6300000000001</v>
      </c>
      <c r="AC66">
        <v>468.35</v>
      </c>
      <c r="AD66">
        <v>0</v>
      </c>
      <c r="AE66">
        <v>0</v>
      </c>
      <c r="AF66">
        <v>1142.6300000000001</v>
      </c>
      <c r="AG66">
        <v>468.35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1.7</v>
      </c>
      <c r="AU66" t="s">
        <v>3</v>
      </c>
      <c r="AV66">
        <v>0</v>
      </c>
      <c r="AW66">
        <v>2</v>
      </c>
      <c r="AX66">
        <v>37602400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Y66*Source!I111</f>
        <v>0.36124999999999996</v>
      </c>
      <c r="CY66">
        <f t="shared" si="9"/>
        <v>1142.6300000000001</v>
      </c>
      <c r="CZ66">
        <f t="shared" si="10"/>
        <v>1142.6300000000001</v>
      </c>
      <c r="DA66">
        <f t="shared" si="11"/>
        <v>1</v>
      </c>
      <c r="DB66">
        <v>0</v>
      </c>
    </row>
    <row r="67" spans="1:106" x14ac:dyDescent="0.2">
      <c r="A67">
        <f>ROW(Source!A112)</f>
        <v>112</v>
      </c>
      <c r="B67">
        <v>37598633</v>
      </c>
      <c r="C67">
        <v>37600130</v>
      </c>
      <c r="D67">
        <v>34188506</v>
      </c>
      <c r="E67">
        <v>1</v>
      </c>
      <c r="F67">
        <v>1</v>
      </c>
      <c r="G67">
        <v>15</v>
      </c>
      <c r="H67">
        <v>2</v>
      </c>
      <c r="I67" t="s">
        <v>229</v>
      </c>
      <c r="J67" t="s">
        <v>230</v>
      </c>
      <c r="K67" t="s">
        <v>231</v>
      </c>
      <c r="L67">
        <v>1368</v>
      </c>
      <c r="N67">
        <v>1011</v>
      </c>
      <c r="O67" t="s">
        <v>219</v>
      </c>
      <c r="P67" t="s">
        <v>219</v>
      </c>
      <c r="Q67">
        <v>1</v>
      </c>
      <c r="W67">
        <v>0</v>
      </c>
      <c r="X67">
        <v>347358450</v>
      </c>
      <c r="Y67">
        <v>5.3699999999999998E-2</v>
      </c>
      <c r="AA67">
        <v>0</v>
      </c>
      <c r="AB67">
        <v>1296.1600000000001</v>
      </c>
      <c r="AC67">
        <v>521.28</v>
      </c>
      <c r="AD67">
        <v>0</v>
      </c>
      <c r="AE67">
        <v>0</v>
      </c>
      <c r="AF67">
        <v>1296.1600000000001</v>
      </c>
      <c r="AG67">
        <v>521.28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5.3699999999999998E-2</v>
      </c>
      <c r="AU67" t="s">
        <v>3</v>
      </c>
      <c r="AV67">
        <v>0</v>
      </c>
      <c r="AW67">
        <v>2</v>
      </c>
      <c r="AX67">
        <v>37602402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Y67*Source!I112</f>
        <v>1.5170249999999998</v>
      </c>
      <c r="CY67">
        <f t="shared" si="9"/>
        <v>1296.1600000000001</v>
      </c>
      <c r="CZ67">
        <f t="shared" si="10"/>
        <v>1296.1600000000001</v>
      </c>
      <c r="DA67">
        <f t="shared" si="11"/>
        <v>1</v>
      </c>
      <c r="DB67">
        <v>0</v>
      </c>
    </row>
    <row r="68" spans="1:106" x14ac:dyDescent="0.2">
      <c r="A68">
        <f>ROW(Source!A113)</f>
        <v>113</v>
      </c>
      <c r="B68">
        <v>37598633</v>
      </c>
      <c r="C68">
        <v>37600133</v>
      </c>
      <c r="D68">
        <v>34187831</v>
      </c>
      <c r="E68">
        <v>1</v>
      </c>
      <c r="F68">
        <v>1</v>
      </c>
      <c r="G68">
        <v>15</v>
      </c>
      <c r="H68">
        <v>2</v>
      </c>
      <c r="I68" t="s">
        <v>232</v>
      </c>
      <c r="J68" t="s">
        <v>233</v>
      </c>
      <c r="K68" t="s">
        <v>234</v>
      </c>
      <c r="L68">
        <v>1368</v>
      </c>
      <c r="N68">
        <v>1011</v>
      </c>
      <c r="O68" t="s">
        <v>219</v>
      </c>
      <c r="P68" t="s">
        <v>219</v>
      </c>
      <c r="Q68">
        <v>1</v>
      </c>
      <c r="W68">
        <v>0</v>
      </c>
      <c r="X68">
        <v>71869596</v>
      </c>
      <c r="Y68">
        <v>0.02</v>
      </c>
      <c r="AA68">
        <v>0</v>
      </c>
      <c r="AB68">
        <v>782.71</v>
      </c>
      <c r="AC68">
        <v>410.24</v>
      </c>
      <c r="AD68">
        <v>0</v>
      </c>
      <c r="AE68">
        <v>0</v>
      </c>
      <c r="AF68">
        <v>782.71</v>
      </c>
      <c r="AG68">
        <v>410.24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0.02</v>
      </c>
      <c r="AU68" t="s">
        <v>3</v>
      </c>
      <c r="AV68">
        <v>0</v>
      </c>
      <c r="AW68">
        <v>2</v>
      </c>
      <c r="AX68">
        <v>37602403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Y68*Source!I113</f>
        <v>0.56500000000000006</v>
      </c>
      <c r="CY68">
        <f t="shared" si="9"/>
        <v>782.71</v>
      </c>
      <c r="CZ68">
        <f t="shared" si="10"/>
        <v>782.71</v>
      </c>
      <c r="DA68">
        <f t="shared" si="11"/>
        <v>1</v>
      </c>
      <c r="DB68">
        <v>0</v>
      </c>
    </row>
    <row r="69" spans="1:106" x14ac:dyDescent="0.2">
      <c r="A69">
        <f>ROW(Source!A113)</f>
        <v>113</v>
      </c>
      <c r="B69">
        <v>37598633</v>
      </c>
      <c r="C69">
        <v>37600133</v>
      </c>
      <c r="D69">
        <v>34187830</v>
      </c>
      <c r="E69">
        <v>1</v>
      </c>
      <c r="F69">
        <v>1</v>
      </c>
      <c r="G69">
        <v>15</v>
      </c>
      <c r="H69">
        <v>2</v>
      </c>
      <c r="I69" t="s">
        <v>235</v>
      </c>
      <c r="J69" t="s">
        <v>236</v>
      </c>
      <c r="K69" t="s">
        <v>237</v>
      </c>
      <c r="L69">
        <v>1368</v>
      </c>
      <c r="N69">
        <v>1011</v>
      </c>
      <c r="O69" t="s">
        <v>219</v>
      </c>
      <c r="P69" t="s">
        <v>219</v>
      </c>
      <c r="Q69">
        <v>1</v>
      </c>
      <c r="W69">
        <v>0</v>
      </c>
      <c r="X69">
        <v>-1411098748</v>
      </c>
      <c r="Y69">
        <v>1.7999999999999999E-2</v>
      </c>
      <c r="AA69">
        <v>0</v>
      </c>
      <c r="AB69">
        <v>939.75</v>
      </c>
      <c r="AC69">
        <v>473.4</v>
      </c>
      <c r="AD69">
        <v>0</v>
      </c>
      <c r="AE69">
        <v>0</v>
      </c>
      <c r="AF69">
        <v>939.75</v>
      </c>
      <c r="AG69">
        <v>473.4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1.7999999999999999E-2</v>
      </c>
      <c r="AU69" t="s">
        <v>3</v>
      </c>
      <c r="AV69">
        <v>0</v>
      </c>
      <c r="AW69">
        <v>2</v>
      </c>
      <c r="AX69">
        <v>37602404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Y69*Source!I113</f>
        <v>0.50849999999999995</v>
      </c>
      <c r="CY69">
        <f t="shared" si="9"/>
        <v>939.75</v>
      </c>
      <c r="CZ69">
        <f t="shared" si="10"/>
        <v>939.75</v>
      </c>
      <c r="DA69">
        <f t="shared" si="11"/>
        <v>1</v>
      </c>
      <c r="DB69">
        <v>0</v>
      </c>
    </row>
    <row r="70" spans="1:106" x14ac:dyDescent="0.2">
      <c r="A70">
        <f>ROW(Source!A114)</f>
        <v>114</v>
      </c>
      <c r="B70">
        <v>37598633</v>
      </c>
      <c r="C70">
        <v>37600138</v>
      </c>
      <c r="D70">
        <v>34187831</v>
      </c>
      <c r="E70">
        <v>1</v>
      </c>
      <c r="F70">
        <v>1</v>
      </c>
      <c r="G70">
        <v>15</v>
      </c>
      <c r="H70">
        <v>2</v>
      </c>
      <c r="I70" t="s">
        <v>232</v>
      </c>
      <c r="J70" t="s">
        <v>233</v>
      </c>
      <c r="K70" t="s">
        <v>234</v>
      </c>
      <c r="L70">
        <v>1368</v>
      </c>
      <c r="N70">
        <v>1011</v>
      </c>
      <c r="O70" t="s">
        <v>219</v>
      </c>
      <c r="P70" t="s">
        <v>219</v>
      </c>
      <c r="Q70">
        <v>1</v>
      </c>
      <c r="W70">
        <v>0</v>
      </c>
      <c r="X70">
        <v>71869596</v>
      </c>
      <c r="Y70">
        <v>0.25</v>
      </c>
      <c r="AA70">
        <v>0</v>
      </c>
      <c r="AB70">
        <v>782.71</v>
      </c>
      <c r="AC70">
        <v>410.24</v>
      </c>
      <c r="AD70">
        <v>0</v>
      </c>
      <c r="AE70">
        <v>0</v>
      </c>
      <c r="AF70">
        <v>782.71</v>
      </c>
      <c r="AG70">
        <v>410.24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1</v>
      </c>
      <c r="AQ70">
        <v>0</v>
      </c>
      <c r="AR70">
        <v>0</v>
      </c>
      <c r="AS70" t="s">
        <v>3</v>
      </c>
      <c r="AT70">
        <v>0.01</v>
      </c>
      <c r="AU70" t="s">
        <v>40</v>
      </c>
      <c r="AV70">
        <v>0</v>
      </c>
      <c r="AW70">
        <v>2</v>
      </c>
      <c r="AX70">
        <v>37602405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Y70*Source!I114</f>
        <v>7.0625</v>
      </c>
      <c r="CY70">
        <f t="shared" si="9"/>
        <v>782.71</v>
      </c>
      <c r="CZ70">
        <f t="shared" si="10"/>
        <v>782.71</v>
      </c>
      <c r="DA70">
        <f t="shared" si="11"/>
        <v>1</v>
      </c>
      <c r="DB70">
        <v>0</v>
      </c>
    </row>
    <row r="71" spans="1:106" x14ac:dyDescent="0.2">
      <c r="A71">
        <f>ROW(Source!A114)</f>
        <v>114</v>
      </c>
      <c r="B71">
        <v>37598633</v>
      </c>
      <c r="C71">
        <v>37600138</v>
      </c>
      <c r="D71">
        <v>34187830</v>
      </c>
      <c r="E71">
        <v>1</v>
      </c>
      <c r="F71">
        <v>1</v>
      </c>
      <c r="G71">
        <v>15</v>
      </c>
      <c r="H71">
        <v>2</v>
      </c>
      <c r="I71" t="s">
        <v>235</v>
      </c>
      <c r="J71" t="s">
        <v>236</v>
      </c>
      <c r="K71" t="s">
        <v>237</v>
      </c>
      <c r="L71">
        <v>1368</v>
      </c>
      <c r="N71">
        <v>1011</v>
      </c>
      <c r="O71" t="s">
        <v>219</v>
      </c>
      <c r="P71" t="s">
        <v>219</v>
      </c>
      <c r="Q71">
        <v>1</v>
      </c>
      <c r="W71">
        <v>0</v>
      </c>
      <c r="X71">
        <v>-1411098748</v>
      </c>
      <c r="Y71">
        <v>0.2</v>
      </c>
      <c r="AA71">
        <v>0</v>
      </c>
      <c r="AB71">
        <v>939.75</v>
      </c>
      <c r="AC71">
        <v>473.4</v>
      </c>
      <c r="AD71">
        <v>0</v>
      </c>
      <c r="AE71">
        <v>0</v>
      </c>
      <c r="AF71">
        <v>939.75</v>
      </c>
      <c r="AG71">
        <v>473.4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1</v>
      </c>
      <c r="AQ71">
        <v>0</v>
      </c>
      <c r="AR71">
        <v>0</v>
      </c>
      <c r="AS71" t="s">
        <v>3</v>
      </c>
      <c r="AT71">
        <v>8.0000000000000002E-3</v>
      </c>
      <c r="AU71" t="s">
        <v>40</v>
      </c>
      <c r="AV71">
        <v>0</v>
      </c>
      <c r="AW71">
        <v>2</v>
      </c>
      <c r="AX71">
        <v>37602406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Y71*Source!I114</f>
        <v>5.65</v>
      </c>
      <c r="CY71">
        <f t="shared" si="9"/>
        <v>939.75</v>
      </c>
      <c r="CZ71">
        <f t="shared" si="10"/>
        <v>939.75</v>
      </c>
      <c r="DA71">
        <f t="shared" si="11"/>
        <v>1</v>
      </c>
      <c r="DB71">
        <v>0</v>
      </c>
    </row>
    <row r="72" spans="1:106" x14ac:dyDescent="0.2">
      <c r="A72">
        <f>ROW(Source!A115)</f>
        <v>115</v>
      </c>
      <c r="B72">
        <v>37598633</v>
      </c>
      <c r="C72">
        <v>37600143</v>
      </c>
      <c r="D72">
        <v>34176775</v>
      </c>
      <c r="E72">
        <v>15</v>
      </c>
      <c r="F72">
        <v>1</v>
      </c>
      <c r="G72">
        <v>15</v>
      </c>
      <c r="H72">
        <v>1</v>
      </c>
      <c r="I72" t="s">
        <v>213</v>
      </c>
      <c r="J72" t="s">
        <v>3</v>
      </c>
      <c r="K72" t="s">
        <v>214</v>
      </c>
      <c r="L72">
        <v>1191</v>
      </c>
      <c r="N72">
        <v>1013</v>
      </c>
      <c r="O72" t="s">
        <v>215</v>
      </c>
      <c r="P72" t="s">
        <v>215</v>
      </c>
      <c r="Q72">
        <v>1</v>
      </c>
      <c r="W72">
        <v>0</v>
      </c>
      <c r="X72">
        <v>476480486</v>
      </c>
      <c r="Y72">
        <v>16.559999999999999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16.559999999999999</v>
      </c>
      <c r="AU72" t="s">
        <v>3</v>
      </c>
      <c r="AV72">
        <v>1</v>
      </c>
      <c r="AW72">
        <v>2</v>
      </c>
      <c r="AX72">
        <v>37602424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Y72*Source!I115</f>
        <v>1.4076</v>
      </c>
      <c r="CY72">
        <f>AD72</f>
        <v>0</v>
      </c>
      <c r="CZ72">
        <f>AH72</f>
        <v>0</v>
      </c>
      <c r="DA72">
        <f>AL72</f>
        <v>1</v>
      </c>
      <c r="DB72">
        <v>0</v>
      </c>
    </row>
    <row r="73" spans="1:106" x14ac:dyDescent="0.2">
      <c r="A73">
        <f>ROW(Source!A115)</f>
        <v>115</v>
      </c>
      <c r="B73">
        <v>37598633</v>
      </c>
      <c r="C73">
        <v>37600143</v>
      </c>
      <c r="D73">
        <v>34188463</v>
      </c>
      <c r="E73">
        <v>1</v>
      </c>
      <c r="F73">
        <v>1</v>
      </c>
      <c r="G73">
        <v>15</v>
      </c>
      <c r="H73">
        <v>2</v>
      </c>
      <c r="I73" t="s">
        <v>226</v>
      </c>
      <c r="J73" t="s">
        <v>227</v>
      </c>
      <c r="K73" t="s">
        <v>228</v>
      </c>
      <c r="L73">
        <v>1368</v>
      </c>
      <c r="N73">
        <v>1011</v>
      </c>
      <c r="O73" t="s">
        <v>219</v>
      </c>
      <c r="P73" t="s">
        <v>219</v>
      </c>
      <c r="Q73">
        <v>1</v>
      </c>
      <c r="W73">
        <v>0</v>
      </c>
      <c r="X73">
        <v>1482077759</v>
      </c>
      <c r="Y73">
        <v>2.08</v>
      </c>
      <c r="AA73">
        <v>0</v>
      </c>
      <c r="AB73">
        <v>936.41</v>
      </c>
      <c r="AC73">
        <v>403.45</v>
      </c>
      <c r="AD73">
        <v>0</v>
      </c>
      <c r="AE73">
        <v>0</v>
      </c>
      <c r="AF73">
        <v>936.41</v>
      </c>
      <c r="AG73">
        <v>403.45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2.08</v>
      </c>
      <c r="AU73" t="s">
        <v>3</v>
      </c>
      <c r="AV73">
        <v>0</v>
      </c>
      <c r="AW73">
        <v>2</v>
      </c>
      <c r="AX73">
        <v>37602425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Y73*Source!I115</f>
        <v>0.17680000000000001</v>
      </c>
      <c r="CY73">
        <f>AB73</f>
        <v>936.41</v>
      </c>
      <c r="CZ73">
        <f>AF73</f>
        <v>936.41</v>
      </c>
      <c r="DA73">
        <f>AJ73</f>
        <v>1</v>
      </c>
      <c r="DB73">
        <v>0</v>
      </c>
    </row>
    <row r="74" spans="1:106" x14ac:dyDescent="0.2">
      <c r="A74">
        <f>ROW(Source!A115)</f>
        <v>115</v>
      </c>
      <c r="B74">
        <v>37598633</v>
      </c>
      <c r="C74">
        <v>37600143</v>
      </c>
      <c r="D74">
        <v>34188306</v>
      </c>
      <c r="E74">
        <v>1</v>
      </c>
      <c r="F74">
        <v>1</v>
      </c>
      <c r="G74">
        <v>15</v>
      </c>
      <c r="H74">
        <v>2</v>
      </c>
      <c r="I74" t="s">
        <v>238</v>
      </c>
      <c r="J74" t="s">
        <v>239</v>
      </c>
      <c r="K74" t="s">
        <v>240</v>
      </c>
      <c r="L74">
        <v>1368</v>
      </c>
      <c r="N74">
        <v>1011</v>
      </c>
      <c r="O74" t="s">
        <v>219</v>
      </c>
      <c r="P74" t="s">
        <v>219</v>
      </c>
      <c r="Q74">
        <v>1</v>
      </c>
      <c r="W74">
        <v>0</v>
      </c>
      <c r="X74">
        <v>1619837319</v>
      </c>
      <c r="Y74">
        <v>2.08</v>
      </c>
      <c r="AA74">
        <v>0</v>
      </c>
      <c r="AB74">
        <v>354.92</v>
      </c>
      <c r="AC74">
        <v>157.22999999999999</v>
      </c>
      <c r="AD74">
        <v>0</v>
      </c>
      <c r="AE74">
        <v>0</v>
      </c>
      <c r="AF74">
        <v>354.92</v>
      </c>
      <c r="AG74">
        <v>157.22999999999999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2.08</v>
      </c>
      <c r="AU74" t="s">
        <v>3</v>
      </c>
      <c r="AV74">
        <v>0</v>
      </c>
      <c r="AW74">
        <v>2</v>
      </c>
      <c r="AX74">
        <v>37602426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Y74*Source!I115</f>
        <v>0.17680000000000001</v>
      </c>
      <c r="CY74">
        <f>AB74</f>
        <v>354.92</v>
      </c>
      <c r="CZ74">
        <f>AF74</f>
        <v>354.92</v>
      </c>
      <c r="DA74">
        <f>AJ74</f>
        <v>1</v>
      </c>
      <c r="DB74">
        <v>0</v>
      </c>
    </row>
    <row r="75" spans="1:106" x14ac:dyDescent="0.2">
      <c r="A75">
        <f>ROW(Source!A115)</f>
        <v>115</v>
      </c>
      <c r="B75">
        <v>37598633</v>
      </c>
      <c r="C75">
        <v>37600143</v>
      </c>
      <c r="D75">
        <v>34188303</v>
      </c>
      <c r="E75">
        <v>1</v>
      </c>
      <c r="F75">
        <v>1</v>
      </c>
      <c r="G75">
        <v>15</v>
      </c>
      <c r="H75">
        <v>2</v>
      </c>
      <c r="I75" t="s">
        <v>241</v>
      </c>
      <c r="J75" t="s">
        <v>242</v>
      </c>
      <c r="K75" t="s">
        <v>243</v>
      </c>
      <c r="L75">
        <v>1368</v>
      </c>
      <c r="N75">
        <v>1011</v>
      </c>
      <c r="O75" t="s">
        <v>219</v>
      </c>
      <c r="P75" t="s">
        <v>219</v>
      </c>
      <c r="Q75">
        <v>1</v>
      </c>
      <c r="W75">
        <v>0</v>
      </c>
      <c r="X75">
        <v>-422229590</v>
      </c>
      <c r="Y75">
        <v>0.81</v>
      </c>
      <c r="AA75">
        <v>0</v>
      </c>
      <c r="AB75">
        <v>1527.34</v>
      </c>
      <c r="AC75">
        <v>334.88</v>
      </c>
      <c r="AD75">
        <v>0</v>
      </c>
      <c r="AE75">
        <v>0</v>
      </c>
      <c r="AF75">
        <v>1527.34</v>
      </c>
      <c r="AG75">
        <v>334.88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0.81</v>
      </c>
      <c r="AU75" t="s">
        <v>3</v>
      </c>
      <c r="AV75">
        <v>0</v>
      </c>
      <c r="AW75">
        <v>2</v>
      </c>
      <c r="AX75">
        <v>37602427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Y75*Source!I115</f>
        <v>6.8850000000000008E-2</v>
      </c>
      <c r="CY75">
        <f>AB75</f>
        <v>1527.34</v>
      </c>
      <c r="CZ75">
        <f>AF75</f>
        <v>1527.34</v>
      </c>
      <c r="DA75">
        <f>AJ75</f>
        <v>1</v>
      </c>
      <c r="DB75">
        <v>0</v>
      </c>
    </row>
    <row r="76" spans="1:106" x14ac:dyDescent="0.2">
      <c r="A76">
        <f>ROW(Source!A115)</f>
        <v>115</v>
      </c>
      <c r="B76">
        <v>37598633</v>
      </c>
      <c r="C76">
        <v>37600143</v>
      </c>
      <c r="D76">
        <v>34188265</v>
      </c>
      <c r="E76">
        <v>1</v>
      </c>
      <c r="F76">
        <v>1</v>
      </c>
      <c r="G76">
        <v>15</v>
      </c>
      <c r="H76">
        <v>2</v>
      </c>
      <c r="I76" t="s">
        <v>223</v>
      </c>
      <c r="J76" t="s">
        <v>224</v>
      </c>
      <c r="K76" t="s">
        <v>225</v>
      </c>
      <c r="L76">
        <v>1368</v>
      </c>
      <c r="N76">
        <v>1011</v>
      </c>
      <c r="O76" t="s">
        <v>219</v>
      </c>
      <c r="P76" t="s">
        <v>219</v>
      </c>
      <c r="Q76">
        <v>1</v>
      </c>
      <c r="W76">
        <v>0</v>
      </c>
      <c r="X76">
        <v>-1706694778</v>
      </c>
      <c r="Y76">
        <v>1.94</v>
      </c>
      <c r="AA76">
        <v>0</v>
      </c>
      <c r="AB76">
        <v>1142.6300000000001</v>
      </c>
      <c r="AC76">
        <v>468.35</v>
      </c>
      <c r="AD76">
        <v>0</v>
      </c>
      <c r="AE76">
        <v>0</v>
      </c>
      <c r="AF76">
        <v>1142.6300000000001</v>
      </c>
      <c r="AG76">
        <v>468.35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1.94</v>
      </c>
      <c r="AU76" t="s">
        <v>3</v>
      </c>
      <c r="AV76">
        <v>0</v>
      </c>
      <c r="AW76">
        <v>2</v>
      </c>
      <c r="AX76">
        <v>37602428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Y76*Source!I115</f>
        <v>0.16490000000000002</v>
      </c>
      <c r="CY76">
        <f>AB76</f>
        <v>1142.6300000000001</v>
      </c>
      <c r="CZ76">
        <f>AF76</f>
        <v>1142.6300000000001</v>
      </c>
      <c r="DA76">
        <f>AJ76</f>
        <v>1</v>
      </c>
      <c r="DB76">
        <v>0</v>
      </c>
    </row>
    <row r="77" spans="1:106" x14ac:dyDescent="0.2">
      <c r="A77">
        <f>ROW(Source!A115)</f>
        <v>115</v>
      </c>
      <c r="B77">
        <v>37598633</v>
      </c>
      <c r="C77">
        <v>37600143</v>
      </c>
      <c r="D77">
        <v>34188313</v>
      </c>
      <c r="E77">
        <v>1</v>
      </c>
      <c r="F77">
        <v>1</v>
      </c>
      <c r="G77">
        <v>15</v>
      </c>
      <c r="H77">
        <v>2</v>
      </c>
      <c r="I77" t="s">
        <v>244</v>
      </c>
      <c r="J77" t="s">
        <v>245</v>
      </c>
      <c r="K77" t="s">
        <v>246</v>
      </c>
      <c r="L77">
        <v>1368</v>
      </c>
      <c r="N77">
        <v>1011</v>
      </c>
      <c r="O77" t="s">
        <v>219</v>
      </c>
      <c r="P77" t="s">
        <v>219</v>
      </c>
      <c r="Q77">
        <v>1</v>
      </c>
      <c r="W77">
        <v>0</v>
      </c>
      <c r="X77">
        <v>-882610335</v>
      </c>
      <c r="Y77">
        <v>0.65</v>
      </c>
      <c r="AA77">
        <v>0</v>
      </c>
      <c r="AB77">
        <v>1590.37</v>
      </c>
      <c r="AC77">
        <v>497.81</v>
      </c>
      <c r="AD77">
        <v>0</v>
      </c>
      <c r="AE77">
        <v>0</v>
      </c>
      <c r="AF77">
        <v>1590.37</v>
      </c>
      <c r="AG77">
        <v>497.81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0.65</v>
      </c>
      <c r="AU77" t="s">
        <v>3</v>
      </c>
      <c r="AV77">
        <v>0</v>
      </c>
      <c r="AW77">
        <v>2</v>
      </c>
      <c r="AX77">
        <v>37602429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Y77*Source!I115</f>
        <v>5.5250000000000007E-2</v>
      </c>
      <c r="CY77">
        <f>AB77</f>
        <v>1590.37</v>
      </c>
      <c r="CZ77">
        <f>AF77</f>
        <v>1590.37</v>
      </c>
      <c r="DA77">
        <f>AJ77</f>
        <v>1</v>
      </c>
      <c r="DB77">
        <v>0</v>
      </c>
    </row>
    <row r="78" spans="1:106" x14ac:dyDescent="0.2">
      <c r="A78">
        <f>ROW(Source!A115)</f>
        <v>115</v>
      </c>
      <c r="B78">
        <v>37598633</v>
      </c>
      <c r="C78">
        <v>37600143</v>
      </c>
      <c r="D78">
        <v>34189650</v>
      </c>
      <c r="E78">
        <v>1</v>
      </c>
      <c r="F78">
        <v>1</v>
      </c>
      <c r="G78">
        <v>15</v>
      </c>
      <c r="H78">
        <v>3</v>
      </c>
      <c r="I78" t="s">
        <v>247</v>
      </c>
      <c r="J78" t="s">
        <v>248</v>
      </c>
      <c r="K78" t="s">
        <v>249</v>
      </c>
      <c r="L78">
        <v>1339</v>
      </c>
      <c r="N78">
        <v>1007</v>
      </c>
      <c r="O78" t="s">
        <v>115</v>
      </c>
      <c r="P78" t="s">
        <v>115</v>
      </c>
      <c r="Q78">
        <v>1</v>
      </c>
      <c r="W78">
        <v>0</v>
      </c>
      <c r="X78">
        <v>-1431983879</v>
      </c>
      <c r="Y78">
        <v>110</v>
      </c>
      <c r="AA78">
        <v>559.23</v>
      </c>
      <c r="AB78">
        <v>0</v>
      </c>
      <c r="AC78">
        <v>0</v>
      </c>
      <c r="AD78">
        <v>0</v>
      </c>
      <c r="AE78">
        <v>559.23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1</v>
      </c>
      <c r="AQ78">
        <v>0</v>
      </c>
      <c r="AR78">
        <v>0</v>
      </c>
      <c r="AS78" t="s">
        <v>3</v>
      </c>
      <c r="AT78">
        <v>110</v>
      </c>
      <c r="AU78" t="s">
        <v>3</v>
      </c>
      <c r="AV78">
        <v>0</v>
      </c>
      <c r="AW78">
        <v>2</v>
      </c>
      <c r="AX78">
        <v>37602430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Y78*Source!I115</f>
        <v>9.3500000000000014</v>
      </c>
      <c r="CY78">
        <f>AA78</f>
        <v>559.23</v>
      </c>
      <c r="CZ78">
        <f>AE78</f>
        <v>559.23</v>
      </c>
      <c r="DA78">
        <f>AI78</f>
        <v>1</v>
      </c>
      <c r="DB78">
        <v>0</v>
      </c>
    </row>
    <row r="79" spans="1:106" x14ac:dyDescent="0.2">
      <c r="A79">
        <f>ROW(Source!A115)</f>
        <v>115</v>
      </c>
      <c r="B79">
        <v>37598633</v>
      </c>
      <c r="C79">
        <v>37600143</v>
      </c>
      <c r="D79">
        <v>34190363</v>
      </c>
      <c r="E79">
        <v>1</v>
      </c>
      <c r="F79">
        <v>1</v>
      </c>
      <c r="G79">
        <v>15</v>
      </c>
      <c r="H79">
        <v>3</v>
      </c>
      <c r="I79" t="s">
        <v>250</v>
      </c>
      <c r="J79" t="s">
        <v>251</v>
      </c>
      <c r="K79" t="s">
        <v>252</v>
      </c>
      <c r="L79">
        <v>1339</v>
      </c>
      <c r="N79">
        <v>1007</v>
      </c>
      <c r="O79" t="s">
        <v>115</v>
      </c>
      <c r="P79" t="s">
        <v>115</v>
      </c>
      <c r="Q79">
        <v>1</v>
      </c>
      <c r="W79">
        <v>0</v>
      </c>
      <c r="X79">
        <v>-156220903</v>
      </c>
      <c r="Y79">
        <v>5</v>
      </c>
      <c r="AA79">
        <v>28.77</v>
      </c>
      <c r="AB79">
        <v>0</v>
      </c>
      <c r="AC79">
        <v>0</v>
      </c>
      <c r="AD79">
        <v>0</v>
      </c>
      <c r="AE79">
        <v>28.77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1</v>
      </c>
      <c r="AQ79">
        <v>0</v>
      </c>
      <c r="AR79">
        <v>0</v>
      </c>
      <c r="AS79" t="s">
        <v>3</v>
      </c>
      <c r="AT79">
        <v>5</v>
      </c>
      <c r="AU79" t="s">
        <v>3</v>
      </c>
      <c r="AV79">
        <v>0</v>
      </c>
      <c r="AW79">
        <v>2</v>
      </c>
      <c r="AX79">
        <v>37602431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Y79*Source!I115</f>
        <v>0.42500000000000004</v>
      </c>
      <c r="CY79">
        <f>AA79</f>
        <v>28.77</v>
      </c>
      <c r="CZ79">
        <f>AE79</f>
        <v>28.77</v>
      </c>
      <c r="DA79">
        <f>AI79</f>
        <v>1</v>
      </c>
      <c r="DB79">
        <v>0</v>
      </c>
    </row>
    <row r="80" spans="1:106" x14ac:dyDescent="0.2">
      <c r="A80">
        <f>ROW(Source!A116)</f>
        <v>116</v>
      </c>
      <c r="B80">
        <v>37598633</v>
      </c>
      <c r="C80">
        <v>37600160</v>
      </c>
      <c r="D80">
        <v>34176775</v>
      </c>
      <c r="E80">
        <v>15</v>
      </c>
      <c r="F80">
        <v>1</v>
      </c>
      <c r="G80">
        <v>15</v>
      </c>
      <c r="H80">
        <v>1</v>
      </c>
      <c r="I80" t="s">
        <v>213</v>
      </c>
      <c r="J80" t="s">
        <v>3</v>
      </c>
      <c r="K80" t="s">
        <v>214</v>
      </c>
      <c r="L80">
        <v>1191</v>
      </c>
      <c r="N80">
        <v>1013</v>
      </c>
      <c r="O80" t="s">
        <v>215</v>
      </c>
      <c r="P80" t="s">
        <v>215</v>
      </c>
      <c r="Q80">
        <v>1</v>
      </c>
      <c r="W80">
        <v>0</v>
      </c>
      <c r="X80">
        <v>476480486</v>
      </c>
      <c r="Y80">
        <v>24.84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24.84</v>
      </c>
      <c r="AU80" t="s">
        <v>3</v>
      </c>
      <c r="AV80">
        <v>1</v>
      </c>
      <c r="AW80">
        <v>2</v>
      </c>
      <c r="AX80">
        <v>37602432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Y80*Source!I116</f>
        <v>2.1114000000000002</v>
      </c>
      <c r="CY80">
        <f>AD80</f>
        <v>0</v>
      </c>
      <c r="CZ80">
        <f>AH80</f>
        <v>0</v>
      </c>
      <c r="DA80">
        <f>AL80</f>
        <v>1</v>
      </c>
      <c r="DB80">
        <v>0</v>
      </c>
    </row>
    <row r="81" spans="1:106" x14ac:dyDescent="0.2">
      <c r="A81">
        <f>ROW(Source!A116)</f>
        <v>116</v>
      </c>
      <c r="B81">
        <v>37598633</v>
      </c>
      <c r="C81">
        <v>37600160</v>
      </c>
      <c r="D81">
        <v>34188482</v>
      </c>
      <c r="E81">
        <v>1</v>
      </c>
      <c r="F81">
        <v>1</v>
      </c>
      <c r="G81">
        <v>15</v>
      </c>
      <c r="H81">
        <v>2</v>
      </c>
      <c r="I81" t="s">
        <v>253</v>
      </c>
      <c r="J81" t="s">
        <v>254</v>
      </c>
      <c r="K81" t="s">
        <v>255</v>
      </c>
      <c r="L81">
        <v>1368</v>
      </c>
      <c r="N81">
        <v>1011</v>
      </c>
      <c r="O81" t="s">
        <v>219</v>
      </c>
      <c r="P81" t="s">
        <v>219</v>
      </c>
      <c r="Q81">
        <v>1</v>
      </c>
      <c r="W81">
        <v>0</v>
      </c>
      <c r="X81">
        <v>-1514203159</v>
      </c>
      <c r="Y81">
        <v>2.94</v>
      </c>
      <c r="AA81">
        <v>0</v>
      </c>
      <c r="AB81">
        <v>711.82</v>
      </c>
      <c r="AC81">
        <v>363.48</v>
      </c>
      <c r="AD81">
        <v>0</v>
      </c>
      <c r="AE81">
        <v>0</v>
      </c>
      <c r="AF81">
        <v>711.82</v>
      </c>
      <c r="AG81">
        <v>363.48</v>
      </c>
      <c r="AH81">
        <v>0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2.94</v>
      </c>
      <c r="AU81" t="s">
        <v>3</v>
      </c>
      <c r="AV81">
        <v>0</v>
      </c>
      <c r="AW81">
        <v>2</v>
      </c>
      <c r="AX81">
        <v>37602433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Y81*Source!I116</f>
        <v>0.24990000000000001</v>
      </c>
      <c r="CY81">
        <f t="shared" ref="CY81:CY86" si="12">AB81</f>
        <v>711.82</v>
      </c>
      <c r="CZ81">
        <f t="shared" ref="CZ81:CZ86" si="13">AF81</f>
        <v>711.82</v>
      </c>
      <c r="DA81">
        <f t="shared" ref="DA81:DA86" si="14">AJ81</f>
        <v>1</v>
      </c>
      <c r="DB81">
        <v>0</v>
      </c>
    </row>
    <row r="82" spans="1:106" x14ac:dyDescent="0.2">
      <c r="A82">
        <f>ROW(Source!A116)</f>
        <v>116</v>
      </c>
      <c r="B82">
        <v>37598633</v>
      </c>
      <c r="C82">
        <v>37600160</v>
      </c>
      <c r="D82">
        <v>34188303</v>
      </c>
      <c r="E82">
        <v>1</v>
      </c>
      <c r="F82">
        <v>1</v>
      </c>
      <c r="G82">
        <v>15</v>
      </c>
      <c r="H82">
        <v>2</v>
      </c>
      <c r="I82" t="s">
        <v>241</v>
      </c>
      <c r="J82" t="s">
        <v>242</v>
      </c>
      <c r="K82" t="s">
        <v>243</v>
      </c>
      <c r="L82">
        <v>1368</v>
      </c>
      <c r="N82">
        <v>1011</v>
      </c>
      <c r="O82" t="s">
        <v>219</v>
      </c>
      <c r="P82" t="s">
        <v>219</v>
      </c>
      <c r="Q82">
        <v>1</v>
      </c>
      <c r="W82">
        <v>0</v>
      </c>
      <c r="X82">
        <v>-422229590</v>
      </c>
      <c r="Y82">
        <v>1.1399999999999999</v>
      </c>
      <c r="AA82">
        <v>0</v>
      </c>
      <c r="AB82">
        <v>1527.34</v>
      </c>
      <c r="AC82">
        <v>334.88</v>
      </c>
      <c r="AD82">
        <v>0</v>
      </c>
      <c r="AE82">
        <v>0</v>
      </c>
      <c r="AF82">
        <v>1527.34</v>
      </c>
      <c r="AG82">
        <v>334.88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1.1399999999999999</v>
      </c>
      <c r="AU82" t="s">
        <v>3</v>
      </c>
      <c r="AV82">
        <v>0</v>
      </c>
      <c r="AW82">
        <v>2</v>
      </c>
      <c r="AX82">
        <v>37602434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Y82*Source!I116</f>
        <v>9.69E-2</v>
      </c>
      <c r="CY82">
        <f t="shared" si="12"/>
        <v>1527.34</v>
      </c>
      <c r="CZ82">
        <f t="shared" si="13"/>
        <v>1527.34</v>
      </c>
      <c r="DA82">
        <f t="shared" si="14"/>
        <v>1</v>
      </c>
      <c r="DB82">
        <v>0</v>
      </c>
    </row>
    <row r="83" spans="1:106" x14ac:dyDescent="0.2">
      <c r="A83">
        <f>ROW(Source!A116)</f>
        <v>116</v>
      </c>
      <c r="B83">
        <v>37598633</v>
      </c>
      <c r="C83">
        <v>37600160</v>
      </c>
      <c r="D83">
        <v>34188322</v>
      </c>
      <c r="E83">
        <v>1</v>
      </c>
      <c r="F83">
        <v>1</v>
      </c>
      <c r="G83">
        <v>15</v>
      </c>
      <c r="H83">
        <v>2</v>
      </c>
      <c r="I83" t="s">
        <v>256</v>
      </c>
      <c r="J83" t="s">
        <v>257</v>
      </c>
      <c r="K83" t="s">
        <v>258</v>
      </c>
      <c r="L83">
        <v>1368</v>
      </c>
      <c r="N83">
        <v>1011</v>
      </c>
      <c r="O83" t="s">
        <v>219</v>
      </c>
      <c r="P83" t="s">
        <v>219</v>
      </c>
      <c r="Q83">
        <v>1</v>
      </c>
      <c r="W83">
        <v>0</v>
      </c>
      <c r="X83">
        <v>773118248</v>
      </c>
      <c r="Y83">
        <v>8.9600000000000009</v>
      </c>
      <c r="AA83">
        <v>0</v>
      </c>
      <c r="AB83">
        <v>984.76</v>
      </c>
      <c r="AC83">
        <v>387.07</v>
      </c>
      <c r="AD83">
        <v>0</v>
      </c>
      <c r="AE83">
        <v>0</v>
      </c>
      <c r="AF83">
        <v>984.76</v>
      </c>
      <c r="AG83">
        <v>387.07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8.9600000000000009</v>
      </c>
      <c r="AU83" t="s">
        <v>3</v>
      </c>
      <c r="AV83">
        <v>0</v>
      </c>
      <c r="AW83">
        <v>2</v>
      </c>
      <c r="AX83">
        <v>37602435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Y83*Source!I116</f>
        <v>0.76160000000000017</v>
      </c>
      <c r="CY83">
        <f t="shared" si="12"/>
        <v>984.76</v>
      </c>
      <c r="CZ83">
        <f t="shared" si="13"/>
        <v>984.76</v>
      </c>
      <c r="DA83">
        <f t="shared" si="14"/>
        <v>1</v>
      </c>
      <c r="DB83">
        <v>0</v>
      </c>
    </row>
    <row r="84" spans="1:106" x14ac:dyDescent="0.2">
      <c r="A84">
        <f>ROW(Source!A116)</f>
        <v>116</v>
      </c>
      <c r="B84">
        <v>37598633</v>
      </c>
      <c r="C84">
        <v>37600160</v>
      </c>
      <c r="D84">
        <v>34188321</v>
      </c>
      <c r="E84">
        <v>1</v>
      </c>
      <c r="F84">
        <v>1</v>
      </c>
      <c r="G84">
        <v>15</v>
      </c>
      <c r="H84">
        <v>2</v>
      </c>
      <c r="I84" t="s">
        <v>259</v>
      </c>
      <c r="J84" t="s">
        <v>260</v>
      </c>
      <c r="K84" t="s">
        <v>261</v>
      </c>
      <c r="L84">
        <v>1368</v>
      </c>
      <c r="N84">
        <v>1011</v>
      </c>
      <c r="O84" t="s">
        <v>219</v>
      </c>
      <c r="P84" t="s">
        <v>219</v>
      </c>
      <c r="Q84">
        <v>1</v>
      </c>
      <c r="W84">
        <v>0</v>
      </c>
      <c r="X84">
        <v>867169437</v>
      </c>
      <c r="Y84">
        <v>18.25</v>
      </c>
      <c r="AA84">
        <v>0</v>
      </c>
      <c r="AB84">
        <v>1482.31</v>
      </c>
      <c r="AC84">
        <v>526.20000000000005</v>
      </c>
      <c r="AD84">
        <v>0</v>
      </c>
      <c r="AE84">
        <v>0</v>
      </c>
      <c r="AF84">
        <v>1482.31</v>
      </c>
      <c r="AG84">
        <v>526.20000000000005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18.25</v>
      </c>
      <c r="AU84" t="s">
        <v>3</v>
      </c>
      <c r="AV84">
        <v>0</v>
      </c>
      <c r="AW84">
        <v>2</v>
      </c>
      <c r="AX84">
        <v>37602436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Y84*Source!I116</f>
        <v>1.55125</v>
      </c>
      <c r="CY84">
        <f t="shared" si="12"/>
        <v>1482.31</v>
      </c>
      <c r="CZ84">
        <f t="shared" si="13"/>
        <v>1482.31</v>
      </c>
      <c r="DA84">
        <f t="shared" si="14"/>
        <v>1</v>
      </c>
      <c r="DB84">
        <v>0</v>
      </c>
    </row>
    <row r="85" spans="1:106" x14ac:dyDescent="0.2">
      <c r="A85">
        <f>ROW(Source!A116)</f>
        <v>116</v>
      </c>
      <c r="B85">
        <v>37598633</v>
      </c>
      <c r="C85">
        <v>37600160</v>
      </c>
      <c r="D85">
        <v>34188265</v>
      </c>
      <c r="E85">
        <v>1</v>
      </c>
      <c r="F85">
        <v>1</v>
      </c>
      <c r="G85">
        <v>15</v>
      </c>
      <c r="H85">
        <v>2</v>
      </c>
      <c r="I85" t="s">
        <v>223</v>
      </c>
      <c r="J85" t="s">
        <v>224</v>
      </c>
      <c r="K85" t="s">
        <v>225</v>
      </c>
      <c r="L85">
        <v>1368</v>
      </c>
      <c r="N85">
        <v>1011</v>
      </c>
      <c r="O85" t="s">
        <v>219</v>
      </c>
      <c r="P85" t="s">
        <v>219</v>
      </c>
      <c r="Q85">
        <v>1</v>
      </c>
      <c r="W85">
        <v>0</v>
      </c>
      <c r="X85">
        <v>-1706694778</v>
      </c>
      <c r="Y85">
        <v>2.2400000000000002</v>
      </c>
      <c r="AA85">
        <v>0</v>
      </c>
      <c r="AB85">
        <v>1142.6300000000001</v>
      </c>
      <c r="AC85">
        <v>468.35</v>
      </c>
      <c r="AD85">
        <v>0</v>
      </c>
      <c r="AE85">
        <v>0</v>
      </c>
      <c r="AF85">
        <v>1142.6300000000001</v>
      </c>
      <c r="AG85">
        <v>468.35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2.2400000000000002</v>
      </c>
      <c r="AU85" t="s">
        <v>3</v>
      </c>
      <c r="AV85">
        <v>0</v>
      </c>
      <c r="AW85">
        <v>2</v>
      </c>
      <c r="AX85">
        <v>37602437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Y85*Source!I116</f>
        <v>0.19040000000000004</v>
      </c>
      <c r="CY85">
        <f t="shared" si="12"/>
        <v>1142.6300000000001</v>
      </c>
      <c r="CZ85">
        <f t="shared" si="13"/>
        <v>1142.6300000000001</v>
      </c>
      <c r="DA85">
        <f t="shared" si="14"/>
        <v>1</v>
      </c>
      <c r="DB85">
        <v>0</v>
      </c>
    </row>
    <row r="86" spans="1:106" x14ac:dyDescent="0.2">
      <c r="A86">
        <f>ROW(Source!A116)</f>
        <v>116</v>
      </c>
      <c r="B86">
        <v>37598633</v>
      </c>
      <c r="C86">
        <v>37600160</v>
      </c>
      <c r="D86">
        <v>34188313</v>
      </c>
      <c r="E86">
        <v>1</v>
      </c>
      <c r="F86">
        <v>1</v>
      </c>
      <c r="G86">
        <v>15</v>
      </c>
      <c r="H86">
        <v>2</v>
      </c>
      <c r="I86" t="s">
        <v>244</v>
      </c>
      <c r="J86" t="s">
        <v>245</v>
      </c>
      <c r="K86" t="s">
        <v>246</v>
      </c>
      <c r="L86">
        <v>1368</v>
      </c>
      <c r="N86">
        <v>1011</v>
      </c>
      <c r="O86" t="s">
        <v>219</v>
      </c>
      <c r="P86" t="s">
        <v>219</v>
      </c>
      <c r="Q86">
        <v>1</v>
      </c>
      <c r="W86">
        <v>0</v>
      </c>
      <c r="X86">
        <v>-882610335</v>
      </c>
      <c r="Y86">
        <v>0.65</v>
      </c>
      <c r="AA86">
        <v>0</v>
      </c>
      <c r="AB86">
        <v>1590.37</v>
      </c>
      <c r="AC86">
        <v>497.81</v>
      </c>
      <c r="AD86">
        <v>0</v>
      </c>
      <c r="AE86">
        <v>0</v>
      </c>
      <c r="AF86">
        <v>1590.37</v>
      </c>
      <c r="AG86">
        <v>497.81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0.65</v>
      </c>
      <c r="AU86" t="s">
        <v>3</v>
      </c>
      <c r="AV86">
        <v>0</v>
      </c>
      <c r="AW86">
        <v>2</v>
      </c>
      <c r="AX86">
        <v>37602438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Y86*Source!I116</f>
        <v>5.5250000000000007E-2</v>
      </c>
      <c r="CY86">
        <f t="shared" si="12"/>
        <v>1590.37</v>
      </c>
      <c r="CZ86">
        <f t="shared" si="13"/>
        <v>1590.37</v>
      </c>
      <c r="DA86">
        <f t="shared" si="14"/>
        <v>1</v>
      </c>
      <c r="DB86">
        <v>0</v>
      </c>
    </row>
    <row r="87" spans="1:106" x14ac:dyDescent="0.2">
      <c r="A87">
        <f>ROW(Source!A116)</f>
        <v>116</v>
      </c>
      <c r="B87">
        <v>37598633</v>
      </c>
      <c r="C87">
        <v>37600160</v>
      </c>
      <c r="D87">
        <v>34189676</v>
      </c>
      <c r="E87">
        <v>1</v>
      </c>
      <c r="F87">
        <v>1</v>
      </c>
      <c r="G87">
        <v>15</v>
      </c>
      <c r="H87">
        <v>3</v>
      </c>
      <c r="I87" t="s">
        <v>262</v>
      </c>
      <c r="J87" t="s">
        <v>263</v>
      </c>
      <c r="K87" t="s">
        <v>264</v>
      </c>
      <c r="L87">
        <v>1339</v>
      </c>
      <c r="N87">
        <v>1007</v>
      </c>
      <c r="O87" t="s">
        <v>115</v>
      </c>
      <c r="P87" t="s">
        <v>115</v>
      </c>
      <c r="Q87">
        <v>1</v>
      </c>
      <c r="W87">
        <v>0</v>
      </c>
      <c r="X87">
        <v>812099054</v>
      </c>
      <c r="Y87">
        <v>126</v>
      </c>
      <c r="AA87">
        <v>1910.98</v>
      </c>
      <c r="AB87">
        <v>0</v>
      </c>
      <c r="AC87">
        <v>0</v>
      </c>
      <c r="AD87">
        <v>0</v>
      </c>
      <c r="AE87">
        <v>1910.98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1</v>
      </c>
      <c r="AQ87">
        <v>0</v>
      </c>
      <c r="AR87">
        <v>0</v>
      </c>
      <c r="AS87" t="s">
        <v>3</v>
      </c>
      <c r="AT87">
        <v>126</v>
      </c>
      <c r="AU87" t="s">
        <v>3</v>
      </c>
      <c r="AV87">
        <v>0</v>
      </c>
      <c r="AW87">
        <v>2</v>
      </c>
      <c r="AX87">
        <v>37602439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Y87*Source!I116</f>
        <v>10.71</v>
      </c>
      <c r="CY87">
        <f>AA87</f>
        <v>1910.98</v>
      </c>
      <c r="CZ87">
        <f>AE87</f>
        <v>1910.98</v>
      </c>
      <c r="DA87">
        <f>AI87</f>
        <v>1</v>
      </c>
      <c r="DB87">
        <v>0</v>
      </c>
    </row>
    <row r="88" spans="1:106" x14ac:dyDescent="0.2">
      <c r="A88">
        <f>ROW(Source!A116)</f>
        <v>116</v>
      </c>
      <c r="B88">
        <v>37598633</v>
      </c>
      <c r="C88">
        <v>37600160</v>
      </c>
      <c r="D88">
        <v>34190363</v>
      </c>
      <c r="E88">
        <v>1</v>
      </c>
      <c r="F88">
        <v>1</v>
      </c>
      <c r="G88">
        <v>15</v>
      </c>
      <c r="H88">
        <v>3</v>
      </c>
      <c r="I88" t="s">
        <v>250</v>
      </c>
      <c r="J88" t="s">
        <v>251</v>
      </c>
      <c r="K88" t="s">
        <v>252</v>
      </c>
      <c r="L88">
        <v>1339</v>
      </c>
      <c r="N88">
        <v>1007</v>
      </c>
      <c r="O88" t="s">
        <v>115</v>
      </c>
      <c r="P88" t="s">
        <v>115</v>
      </c>
      <c r="Q88">
        <v>1</v>
      </c>
      <c r="W88">
        <v>0</v>
      </c>
      <c r="X88">
        <v>-156220903</v>
      </c>
      <c r="Y88">
        <v>7</v>
      </c>
      <c r="AA88">
        <v>28.77</v>
      </c>
      <c r="AB88">
        <v>0</v>
      </c>
      <c r="AC88">
        <v>0</v>
      </c>
      <c r="AD88">
        <v>0</v>
      </c>
      <c r="AE88">
        <v>28.77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1</v>
      </c>
      <c r="AQ88">
        <v>0</v>
      </c>
      <c r="AR88">
        <v>0</v>
      </c>
      <c r="AS88" t="s">
        <v>3</v>
      </c>
      <c r="AT88">
        <v>7</v>
      </c>
      <c r="AU88" t="s">
        <v>3</v>
      </c>
      <c r="AV88">
        <v>0</v>
      </c>
      <c r="AW88">
        <v>2</v>
      </c>
      <c r="AX88">
        <v>37602440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Y88*Source!I116</f>
        <v>0.59500000000000008</v>
      </c>
      <c r="CY88">
        <f>AA88</f>
        <v>28.77</v>
      </c>
      <c r="CZ88">
        <f>AE88</f>
        <v>28.77</v>
      </c>
      <c r="DA88">
        <f>AI88</f>
        <v>1</v>
      </c>
      <c r="DB88">
        <v>0</v>
      </c>
    </row>
    <row r="89" spans="1:106" x14ac:dyDescent="0.2">
      <c r="A89">
        <f>ROW(Source!A117)</f>
        <v>117</v>
      </c>
      <c r="B89">
        <v>37598633</v>
      </c>
      <c r="C89">
        <v>37600179</v>
      </c>
      <c r="D89">
        <v>34176775</v>
      </c>
      <c r="E89">
        <v>15</v>
      </c>
      <c r="F89">
        <v>1</v>
      </c>
      <c r="G89">
        <v>15</v>
      </c>
      <c r="H89">
        <v>1</v>
      </c>
      <c r="I89" t="s">
        <v>213</v>
      </c>
      <c r="J89" t="s">
        <v>3</v>
      </c>
      <c r="K89" t="s">
        <v>214</v>
      </c>
      <c r="L89">
        <v>1191</v>
      </c>
      <c r="N89">
        <v>1013</v>
      </c>
      <c r="O89" t="s">
        <v>215</v>
      </c>
      <c r="P89" t="s">
        <v>215</v>
      </c>
      <c r="Q89">
        <v>1</v>
      </c>
      <c r="W89">
        <v>0</v>
      </c>
      <c r="X89">
        <v>476480486</v>
      </c>
      <c r="Y89">
        <v>13.57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13.57</v>
      </c>
      <c r="AU89" t="s">
        <v>3</v>
      </c>
      <c r="AV89">
        <v>1</v>
      </c>
      <c r="AW89">
        <v>2</v>
      </c>
      <c r="AX89">
        <v>37602441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Y89*Source!I117</f>
        <v>11.5345</v>
      </c>
      <c r="CY89">
        <f>AD89</f>
        <v>0</v>
      </c>
      <c r="CZ89">
        <f>AH89</f>
        <v>0</v>
      </c>
      <c r="DA89">
        <f>AL89</f>
        <v>1</v>
      </c>
      <c r="DB89">
        <v>0</v>
      </c>
    </row>
    <row r="90" spans="1:106" x14ac:dyDescent="0.2">
      <c r="A90">
        <f>ROW(Source!A117)</f>
        <v>117</v>
      </c>
      <c r="B90">
        <v>37598633</v>
      </c>
      <c r="C90">
        <v>37600179</v>
      </c>
      <c r="D90">
        <v>34188316</v>
      </c>
      <c r="E90">
        <v>1</v>
      </c>
      <c r="F90">
        <v>1</v>
      </c>
      <c r="G90">
        <v>15</v>
      </c>
      <c r="H90">
        <v>2</v>
      </c>
      <c r="I90" t="s">
        <v>265</v>
      </c>
      <c r="J90" t="s">
        <v>266</v>
      </c>
      <c r="K90" t="s">
        <v>267</v>
      </c>
      <c r="L90">
        <v>1368</v>
      </c>
      <c r="N90">
        <v>1011</v>
      </c>
      <c r="O90" t="s">
        <v>219</v>
      </c>
      <c r="P90" t="s">
        <v>219</v>
      </c>
      <c r="Q90">
        <v>1</v>
      </c>
      <c r="W90">
        <v>0</v>
      </c>
      <c r="X90">
        <v>1511709852</v>
      </c>
      <c r="Y90">
        <v>0.46</v>
      </c>
      <c r="AA90">
        <v>0</v>
      </c>
      <c r="AB90">
        <v>628.07000000000005</v>
      </c>
      <c r="AC90">
        <v>377.51</v>
      </c>
      <c r="AD90">
        <v>0</v>
      </c>
      <c r="AE90">
        <v>0</v>
      </c>
      <c r="AF90">
        <v>628.07000000000005</v>
      </c>
      <c r="AG90">
        <v>377.51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0.46</v>
      </c>
      <c r="AU90" t="s">
        <v>3</v>
      </c>
      <c r="AV90">
        <v>0</v>
      </c>
      <c r="AW90">
        <v>2</v>
      </c>
      <c r="AX90">
        <v>37602442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Y90*Source!I117</f>
        <v>0.39100000000000001</v>
      </c>
      <c r="CY90">
        <f>AB90</f>
        <v>628.07000000000005</v>
      </c>
      <c r="CZ90">
        <f>AF90</f>
        <v>628.07000000000005</v>
      </c>
      <c r="DA90">
        <f>AJ90</f>
        <v>1</v>
      </c>
      <c r="DB90">
        <v>0</v>
      </c>
    </row>
    <row r="91" spans="1:106" x14ac:dyDescent="0.2">
      <c r="A91">
        <f>ROW(Source!A117)</f>
        <v>117</v>
      </c>
      <c r="B91">
        <v>37598633</v>
      </c>
      <c r="C91">
        <v>37600179</v>
      </c>
      <c r="D91">
        <v>34188315</v>
      </c>
      <c r="E91">
        <v>1</v>
      </c>
      <c r="F91">
        <v>1</v>
      </c>
      <c r="G91">
        <v>15</v>
      </c>
      <c r="H91">
        <v>2</v>
      </c>
      <c r="I91" t="s">
        <v>268</v>
      </c>
      <c r="J91" t="s">
        <v>269</v>
      </c>
      <c r="K91" t="s">
        <v>270</v>
      </c>
      <c r="L91">
        <v>1368</v>
      </c>
      <c r="N91">
        <v>1011</v>
      </c>
      <c r="O91" t="s">
        <v>219</v>
      </c>
      <c r="P91" t="s">
        <v>219</v>
      </c>
      <c r="Q91">
        <v>1</v>
      </c>
      <c r="W91">
        <v>0</v>
      </c>
      <c r="X91">
        <v>941035487</v>
      </c>
      <c r="Y91">
        <v>1.39</v>
      </c>
      <c r="AA91">
        <v>0</v>
      </c>
      <c r="AB91">
        <v>681</v>
      </c>
      <c r="AC91">
        <v>389.98</v>
      </c>
      <c r="AD91">
        <v>0</v>
      </c>
      <c r="AE91">
        <v>0</v>
      </c>
      <c r="AF91">
        <v>681</v>
      </c>
      <c r="AG91">
        <v>389.98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1.39</v>
      </c>
      <c r="AU91" t="s">
        <v>3</v>
      </c>
      <c r="AV91">
        <v>0</v>
      </c>
      <c r="AW91">
        <v>2</v>
      </c>
      <c r="AX91">
        <v>37602443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Y91*Source!I117</f>
        <v>1.1815</v>
      </c>
      <c r="CY91">
        <f>AB91</f>
        <v>681</v>
      </c>
      <c r="CZ91">
        <f>AF91</f>
        <v>681</v>
      </c>
      <c r="DA91">
        <f>AJ91</f>
        <v>1</v>
      </c>
      <c r="DB91">
        <v>0</v>
      </c>
    </row>
    <row r="92" spans="1:106" x14ac:dyDescent="0.2">
      <c r="A92">
        <f>ROW(Source!A117)</f>
        <v>117</v>
      </c>
      <c r="B92">
        <v>37598633</v>
      </c>
      <c r="C92">
        <v>37600179</v>
      </c>
      <c r="D92">
        <v>34191424</v>
      </c>
      <c r="E92">
        <v>1</v>
      </c>
      <c r="F92">
        <v>1</v>
      </c>
      <c r="G92">
        <v>15</v>
      </c>
      <c r="H92">
        <v>3</v>
      </c>
      <c r="I92" t="s">
        <v>271</v>
      </c>
      <c r="J92" t="s">
        <v>272</v>
      </c>
      <c r="K92" t="s">
        <v>273</v>
      </c>
      <c r="L92">
        <v>1348</v>
      </c>
      <c r="N92">
        <v>1009</v>
      </c>
      <c r="O92" t="s">
        <v>29</v>
      </c>
      <c r="P92" t="s">
        <v>29</v>
      </c>
      <c r="Q92">
        <v>1000</v>
      </c>
      <c r="W92">
        <v>0</v>
      </c>
      <c r="X92">
        <v>58957476</v>
      </c>
      <c r="Y92">
        <v>11.975</v>
      </c>
      <c r="AA92">
        <v>2314.4499999999998</v>
      </c>
      <c r="AB92">
        <v>0</v>
      </c>
      <c r="AC92">
        <v>0</v>
      </c>
      <c r="AD92">
        <v>0</v>
      </c>
      <c r="AE92">
        <v>2314.4499999999998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1</v>
      </c>
      <c r="AQ92">
        <v>0</v>
      </c>
      <c r="AR92">
        <v>0</v>
      </c>
      <c r="AS92" t="s">
        <v>3</v>
      </c>
      <c r="AT92">
        <v>9.58</v>
      </c>
      <c r="AU92" t="s">
        <v>54</v>
      </c>
      <c r="AV92">
        <v>0</v>
      </c>
      <c r="AW92">
        <v>2</v>
      </c>
      <c r="AX92">
        <v>37602444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Y92*Source!I117</f>
        <v>10.178749999999999</v>
      </c>
      <c r="CY92">
        <f>AA92</f>
        <v>2314.4499999999998</v>
      </c>
      <c r="CZ92">
        <f>AE92</f>
        <v>2314.4499999999998</v>
      </c>
      <c r="DA92">
        <f>AI92</f>
        <v>1</v>
      </c>
      <c r="DB92">
        <v>0</v>
      </c>
    </row>
    <row r="93" spans="1:106" x14ac:dyDescent="0.2">
      <c r="A93">
        <f>ROW(Source!A156)</f>
        <v>156</v>
      </c>
      <c r="B93">
        <v>37598633</v>
      </c>
      <c r="C93">
        <v>37600188</v>
      </c>
      <c r="D93">
        <v>34176775</v>
      </c>
      <c r="E93">
        <v>15</v>
      </c>
      <c r="F93">
        <v>1</v>
      </c>
      <c r="G93">
        <v>15</v>
      </c>
      <c r="H93">
        <v>1</v>
      </c>
      <c r="I93" t="s">
        <v>213</v>
      </c>
      <c r="J93" t="s">
        <v>3</v>
      </c>
      <c r="K93" t="s">
        <v>214</v>
      </c>
      <c r="L93">
        <v>1191</v>
      </c>
      <c r="N93">
        <v>1013</v>
      </c>
      <c r="O93" t="s">
        <v>215</v>
      </c>
      <c r="P93" t="s">
        <v>215</v>
      </c>
      <c r="Q93">
        <v>1</v>
      </c>
      <c r="W93">
        <v>0</v>
      </c>
      <c r="X93">
        <v>476480486</v>
      </c>
      <c r="Y93">
        <v>0.66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0.66</v>
      </c>
      <c r="AU93" t="s">
        <v>3</v>
      </c>
      <c r="AV93">
        <v>1</v>
      </c>
      <c r="AW93">
        <v>2</v>
      </c>
      <c r="AX93">
        <v>37602445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Y93*Source!I156</f>
        <v>46.464000000000006</v>
      </c>
      <c r="CY93">
        <f>AD93</f>
        <v>0</v>
      </c>
      <c r="CZ93">
        <f>AH93</f>
        <v>0</v>
      </c>
      <c r="DA93">
        <f>AL93</f>
        <v>1</v>
      </c>
      <c r="DB93">
        <v>0</v>
      </c>
    </row>
    <row r="94" spans="1:106" x14ac:dyDescent="0.2">
      <c r="A94">
        <f>ROW(Source!A156)</f>
        <v>156</v>
      </c>
      <c r="B94">
        <v>37598633</v>
      </c>
      <c r="C94">
        <v>37600188</v>
      </c>
      <c r="D94">
        <v>34188153</v>
      </c>
      <c r="E94">
        <v>1</v>
      </c>
      <c r="F94">
        <v>1</v>
      </c>
      <c r="G94">
        <v>15</v>
      </c>
      <c r="H94">
        <v>2</v>
      </c>
      <c r="I94" t="s">
        <v>280</v>
      </c>
      <c r="J94" t="s">
        <v>281</v>
      </c>
      <c r="K94" t="s">
        <v>282</v>
      </c>
      <c r="L94">
        <v>1368</v>
      </c>
      <c r="N94">
        <v>1011</v>
      </c>
      <c r="O94" t="s">
        <v>219</v>
      </c>
      <c r="P94" t="s">
        <v>219</v>
      </c>
      <c r="Q94">
        <v>1</v>
      </c>
      <c r="W94">
        <v>0</v>
      </c>
      <c r="X94">
        <v>-658612534</v>
      </c>
      <c r="Y94">
        <v>0.13200000000000001</v>
      </c>
      <c r="AA94">
        <v>0</v>
      </c>
      <c r="AB94">
        <v>359.53</v>
      </c>
      <c r="AC94">
        <v>262.75</v>
      </c>
      <c r="AD94">
        <v>0</v>
      </c>
      <c r="AE94">
        <v>0</v>
      </c>
      <c r="AF94">
        <v>359.53</v>
      </c>
      <c r="AG94">
        <v>262.75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0.13200000000000001</v>
      </c>
      <c r="AU94" t="s">
        <v>3</v>
      </c>
      <c r="AV94">
        <v>0</v>
      </c>
      <c r="AW94">
        <v>2</v>
      </c>
      <c r="AX94">
        <v>37602446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Y94*Source!I156</f>
        <v>9.2928000000000015</v>
      </c>
      <c r="CY94">
        <f>AB94</f>
        <v>359.53</v>
      </c>
      <c r="CZ94">
        <f>AF94</f>
        <v>359.53</v>
      </c>
      <c r="DA94">
        <f>AJ94</f>
        <v>1</v>
      </c>
      <c r="DB94">
        <v>0</v>
      </c>
    </row>
    <row r="95" spans="1:106" x14ac:dyDescent="0.2">
      <c r="A95">
        <f>ROW(Source!A156)</f>
        <v>156</v>
      </c>
      <c r="B95">
        <v>37598633</v>
      </c>
      <c r="C95">
        <v>37600188</v>
      </c>
      <c r="D95">
        <v>34187832</v>
      </c>
      <c r="E95">
        <v>1</v>
      </c>
      <c r="F95">
        <v>1</v>
      </c>
      <c r="G95">
        <v>15</v>
      </c>
      <c r="H95">
        <v>2</v>
      </c>
      <c r="I95" t="s">
        <v>283</v>
      </c>
      <c r="J95" t="s">
        <v>284</v>
      </c>
      <c r="K95" t="s">
        <v>285</v>
      </c>
      <c r="L95">
        <v>1368</v>
      </c>
      <c r="N95">
        <v>1011</v>
      </c>
      <c r="O95" t="s">
        <v>219</v>
      </c>
      <c r="P95" t="s">
        <v>219</v>
      </c>
      <c r="Q95">
        <v>1</v>
      </c>
      <c r="W95">
        <v>0</v>
      </c>
      <c r="X95">
        <v>715607819</v>
      </c>
      <c r="Y95">
        <v>0.05</v>
      </c>
      <c r="AA95">
        <v>0</v>
      </c>
      <c r="AB95">
        <v>871.98</v>
      </c>
      <c r="AC95">
        <v>284.29000000000002</v>
      </c>
      <c r="AD95">
        <v>0</v>
      </c>
      <c r="AE95">
        <v>0</v>
      </c>
      <c r="AF95">
        <v>871.98</v>
      </c>
      <c r="AG95">
        <v>284.29000000000002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0.05</v>
      </c>
      <c r="AU95" t="s">
        <v>3</v>
      </c>
      <c r="AV95">
        <v>0</v>
      </c>
      <c r="AW95">
        <v>2</v>
      </c>
      <c r="AX95">
        <v>37602447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Y95*Source!I156</f>
        <v>3.5200000000000005</v>
      </c>
      <c r="CY95">
        <f>AB95</f>
        <v>871.98</v>
      </c>
      <c r="CZ95">
        <f>AF95</f>
        <v>871.98</v>
      </c>
      <c r="DA95">
        <f>AJ95</f>
        <v>1</v>
      </c>
      <c r="DB95">
        <v>0</v>
      </c>
    </row>
    <row r="96" spans="1:106" x14ac:dyDescent="0.2">
      <c r="A96">
        <f>ROW(Source!A156)</f>
        <v>156</v>
      </c>
      <c r="B96">
        <v>37598633</v>
      </c>
      <c r="C96">
        <v>37600188</v>
      </c>
      <c r="D96">
        <v>34187711</v>
      </c>
      <c r="E96">
        <v>1</v>
      </c>
      <c r="F96">
        <v>1</v>
      </c>
      <c r="G96">
        <v>15</v>
      </c>
      <c r="H96">
        <v>2</v>
      </c>
      <c r="I96" t="s">
        <v>220</v>
      </c>
      <c r="J96" t="s">
        <v>221</v>
      </c>
      <c r="K96" t="s">
        <v>222</v>
      </c>
      <c r="L96">
        <v>1368</v>
      </c>
      <c r="N96">
        <v>1011</v>
      </c>
      <c r="O96" t="s">
        <v>219</v>
      </c>
      <c r="P96" t="s">
        <v>219</v>
      </c>
      <c r="Q96">
        <v>1</v>
      </c>
      <c r="W96">
        <v>0</v>
      </c>
      <c r="X96">
        <v>-403199405</v>
      </c>
      <c r="Y96">
        <v>0.13200000000000001</v>
      </c>
      <c r="AA96">
        <v>0</v>
      </c>
      <c r="AB96">
        <v>4.95</v>
      </c>
      <c r="AC96">
        <v>0.82</v>
      </c>
      <c r="AD96">
        <v>0</v>
      </c>
      <c r="AE96">
        <v>0</v>
      </c>
      <c r="AF96">
        <v>4.95</v>
      </c>
      <c r="AG96">
        <v>0.82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0.13200000000000001</v>
      </c>
      <c r="AU96" t="s">
        <v>3</v>
      </c>
      <c r="AV96">
        <v>0</v>
      </c>
      <c r="AW96">
        <v>2</v>
      </c>
      <c r="AX96">
        <v>37602448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Y96*Source!I156</f>
        <v>9.2928000000000015</v>
      </c>
      <c r="CY96">
        <f>AB96</f>
        <v>4.95</v>
      </c>
      <c r="CZ96">
        <f>AF96</f>
        <v>4.95</v>
      </c>
      <c r="DA96">
        <f>AJ96</f>
        <v>1</v>
      </c>
      <c r="DB96">
        <v>0</v>
      </c>
    </row>
    <row r="97" spans="1:106" x14ac:dyDescent="0.2">
      <c r="A97">
        <f>ROW(Source!A156)</f>
        <v>156</v>
      </c>
      <c r="B97">
        <v>37598633</v>
      </c>
      <c r="C97">
        <v>37600188</v>
      </c>
      <c r="D97">
        <v>34188398</v>
      </c>
      <c r="E97">
        <v>1</v>
      </c>
      <c r="F97">
        <v>1</v>
      </c>
      <c r="G97">
        <v>15</v>
      </c>
      <c r="H97">
        <v>2</v>
      </c>
      <c r="I97" t="s">
        <v>286</v>
      </c>
      <c r="J97" t="s">
        <v>287</v>
      </c>
      <c r="K97" t="s">
        <v>288</v>
      </c>
      <c r="L97">
        <v>1368</v>
      </c>
      <c r="N97">
        <v>1011</v>
      </c>
      <c r="O97" t="s">
        <v>219</v>
      </c>
      <c r="P97" t="s">
        <v>219</v>
      </c>
      <c r="Q97">
        <v>1</v>
      </c>
      <c r="W97">
        <v>0</v>
      </c>
      <c r="X97">
        <v>301416444</v>
      </c>
      <c r="Y97">
        <v>8.8999999999999996E-2</v>
      </c>
      <c r="AA97">
        <v>0</v>
      </c>
      <c r="AB97">
        <v>666.57</v>
      </c>
      <c r="AC97">
        <v>333.76</v>
      </c>
      <c r="AD97">
        <v>0</v>
      </c>
      <c r="AE97">
        <v>0</v>
      </c>
      <c r="AF97">
        <v>666.57</v>
      </c>
      <c r="AG97">
        <v>333.76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8.8999999999999996E-2</v>
      </c>
      <c r="AU97" t="s">
        <v>3</v>
      </c>
      <c r="AV97">
        <v>0</v>
      </c>
      <c r="AW97">
        <v>2</v>
      </c>
      <c r="AX97">
        <v>37602449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Y97*Source!I156</f>
        <v>6.2656000000000001</v>
      </c>
      <c r="CY97">
        <f>AB97</f>
        <v>666.57</v>
      </c>
      <c r="CZ97">
        <f>AF97</f>
        <v>666.57</v>
      </c>
      <c r="DA97">
        <f>AJ97</f>
        <v>1</v>
      </c>
      <c r="DB97">
        <v>0</v>
      </c>
    </row>
    <row r="98" spans="1:106" x14ac:dyDescent="0.2">
      <c r="A98">
        <f>ROW(Source!A156)</f>
        <v>156</v>
      </c>
      <c r="B98">
        <v>37598633</v>
      </c>
      <c r="C98">
        <v>37600188</v>
      </c>
      <c r="D98">
        <v>34191304</v>
      </c>
      <c r="E98">
        <v>1</v>
      </c>
      <c r="F98">
        <v>1</v>
      </c>
      <c r="G98">
        <v>15</v>
      </c>
      <c r="H98">
        <v>3</v>
      </c>
      <c r="I98" t="s">
        <v>289</v>
      </c>
      <c r="J98" t="s">
        <v>290</v>
      </c>
      <c r="K98" t="s">
        <v>291</v>
      </c>
      <c r="L98">
        <v>1339</v>
      </c>
      <c r="N98">
        <v>1007</v>
      </c>
      <c r="O98" t="s">
        <v>115</v>
      </c>
      <c r="P98" t="s">
        <v>115</v>
      </c>
      <c r="Q98">
        <v>1</v>
      </c>
      <c r="W98">
        <v>0</v>
      </c>
      <c r="X98">
        <v>-753266197</v>
      </c>
      <c r="Y98">
        <v>5.8999999999999997E-2</v>
      </c>
      <c r="AA98">
        <v>3532.91</v>
      </c>
      <c r="AB98">
        <v>0</v>
      </c>
      <c r="AC98">
        <v>0</v>
      </c>
      <c r="AD98">
        <v>0</v>
      </c>
      <c r="AE98">
        <v>3532.91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1</v>
      </c>
      <c r="AQ98">
        <v>0</v>
      </c>
      <c r="AR98">
        <v>0</v>
      </c>
      <c r="AS98" t="s">
        <v>3</v>
      </c>
      <c r="AT98">
        <v>5.8999999999999997E-2</v>
      </c>
      <c r="AU98" t="s">
        <v>3</v>
      </c>
      <c r="AV98">
        <v>0</v>
      </c>
      <c r="AW98">
        <v>2</v>
      </c>
      <c r="AX98">
        <v>37602450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Y98*Source!I156</f>
        <v>4.1536</v>
      </c>
      <c r="CY98">
        <f>AA98</f>
        <v>3532.91</v>
      </c>
      <c r="CZ98">
        <f>AE98</f>
        <v>3532.91</v>
      </c>
      <c r="DA98">
        <f>AI98</f>
        <v>1</v>
      </c>
      <c r="DB98">
        <v>0</v>
      </c>
    </row>
    <row r="99" spans="1:106" x14ac:dyDescent="0.2">
      <c r="A99">
        <f>ROW(Source!A156)</f>
        <v>156</v>
      </c>
      <c r="B99">
        <v>37598633</v>
      </c>
      <c r="C99">
        <v>37600188</v>
      </c>
      <c r="D99">
        <v>34191165</v>
      </c>
      <c r="E99">
        <v>1</v>
      </c>
      <c r="F99">
        <v>1</v>
      </c>
      <c r="G99">
        <v>15</v>
      </c>
      <c r="H99">
        <v>3</v>
      </c>
      <c r="I99" t="s">
        <v>292</v>
      </c>
      <c r="J99" t="s">
        <v>293</v>
      </c>
      <c r="K99" t="s">
        <v>294</v>
      </c>
      <c r="L99">
        <v>1339</v>
      </c>
      <c r="N99">
        <v>1007</v>
      </c>
      <c r="O99" t="s">
        <v>115</v>
      </c>
      <c r="P99" t="s">
        <v>115</v>
      </c>
      <c r="Q99">
        <v>1</v>
      </c>
      <c r="W99">
        <v>0</v>
      </c>
      <c r="X99">
        <v>-1647091918</v>
      </c>
      <c r="Y99">
        <v>6.0000000000000001E-3</v>
      </c>
      <c r="AA99">
        <v>2914.58</v>
      </c>
      <c r="AB99">
        <v>0</v>
      </c>
      <c r="AC99">
        <v>0</v>
      </c>
      <c r="AD99">
        <v>0</v>
      </c>
      <c r="AE99">
        <v>2914.58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1</v>
      </c>
      <c r="AQ99">
        <v>0</v>
      </c>
      <c r="AR99">
        <v>0</v>
      </c>
      <c r="AS99" t="s">
        <v>3</v>
      </c>
      <c r="AT99">
        <v>6.0000000000000001E-3</v>
      </c>
      <c r="AU99" t="s">
        <v>3</v>
      </c>
      <c r="AV99">
        <v>0</v>
      </c>
      <c r="AW99">
        <v>2</v>
      </c>
      <c r="AX99">
        <v>37602451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Y99*Source!I156</f>
        <v>0.42240000000000005</v>
      </c>
      <c r="CY99">
        <f>AA99</f>
        <v>2914.58</v>
      </c>
      <c r="CZ99">
        <f>AE99</f>
        <v>2914.58</v>
      </c>
      <c r="DA99">
        <f>AI99</f>
        <v>1</v>
      </c>
      <c r="DB99">
        <v>0</v>
      </c>
    </row>
    <row r="100" spans="1:106" x14ac:dyDescent="0.2">
      <c r="A100">
        <f>ROW(Source!A156)</f>
        <v>156</v>
      </c>
      <c r="B100">
        <v>37598633</v>
      </c>
      <c r="C100">
        <v>37600188</v>
      </c>
      <c r="D100">
        <v>34191662</v>
      </c>
      <c r="E100">
        <v>1</v>
      </c>
      <c r="F100">
        <v>1</v>
      </c>
      <c r="G100">
        <v>15</v>
      </c>
      <c r="H100">
        <v>3</v>
      </c>
      <c r="I100" t="s">
        <v>295</v>
      </c>
      <c r="J100" t="s">
        <v>296</v>
      </c>
      <c r="K100" t="s">
        <v>297</v>
      </c>
      <c r="L100">
        <v>1339</v>
      </c>
      <c r="N100">
        <v>1007</v>
      </c>
      <c r="O100" t="s">
        <v>115</v>
      </c>
      <c r="P100" t="s">
        <v>115</v>
      </c>
      <c r="Q100">
        <v>1</v>
      </c>
      <c r="W100">
        <v>0</v>
      </c>
      <c r="X100">
        <v>989350498</v>
      </c>
      <c r="Y100">
        <v>4.36E-2</v>
      </c>
      <c r="AA100">
        <v>5979.89</v>
      </c>
      <c r="AB100">
        <v>0</v>
      </c>
      <c r="AC100">
        <v>0</v>
      </c>
      <c r="AD100">
        <v>0</v>
      </c>
      <c r="AE100">
        <v>5979.89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1</v>
      </c>
      <c r="AQ100">
        <v>0</v>
      </c>
      <c r="AR100">
        <v>0</v>
      </c>
      <c r="AS100" t="s">
        <v>3</v>
      </c>
      <c r="AT100">
        <v>4.36E-2</v>
      </c>
      <c r="AU100" t="s">
        <v>3</v>
      </c>
      <c r="AV100">
        <v>0</v>
      </c>
      <c r="AW100">
        <v>2</v>
      </c>
      <c r="AX100">
        <v>37602452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Y100*Source!I156</f>
        <v>3.0694400000000002</v>
      </c>
      <c r="CY100">
        <f>AA100</f>
        <v>5979.89</v>
      </c>
      <c r="CZ100">
        <f>AE100</f>
        <v>5979.89</v>
      </c>
      <c r="DA100">
        <f>AI100</f>
        <v>1</v>
      </c>
      <c r="DB100">
        <v>0</v>
      </c>
    </row>
    <row r="101" spans="1:106" x14ac:dyDescent="0.2">
      <c r="A101">
        <f>ROW(Source!A156)</f>
        <v>156</v>
      </c>
      <c r="B101">
        <v>37598633</v>
      </c>
      <c r="C101">
        <v>37600188</v>
      </c>
      <c r="D101">
        <v>34178399</v>
      </c>
      <c r="E101">
        <v>15</v>
      </c>
      <c r="F101">
        <v>1</v>
      </c>
      <c r="G101">
        <v>15</v>
      </c>
      <c r="H101">
        <v>3</v>
      </c>
      <c r="I101" t="s">
        <v>298</v>
      </c>
      <c r="J101" t="s">
        <v>3</v>
      </c>
      <c r="K101" t="s">
        <v>299</v>
      </c>
      <c r="L101">
        <v>1348</v>
      </c>
      <c r="N101">
        <v>1009</v>
      </c>
      <c r="O101" t="s">
        <v>29</v>
      </c>
      <c r="P101" t="s">
        <v>29</v>
      </c>
      <c r="Q101">
        <v>1000</v>
      </c>
      <c r="W101">
        <v>0</v>
      </c>
      <c r="X101">
        <v>1489638031</v>
      </c>
      <c r="Y101">
        <v>0.246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1</v>
      </c>
      <c r="AQ101">
        <v>0</v>
      </c>
      <c r="AR101">
        <v>0</v>
      </c>
      <c r="AS101" t="s">
        <v>3</v>
      </c>
      <c r="AT101">
        <v>0.246</v>
      </c>
      <c r="AU101" t="s">
        <v>3</v>
      </c>
      <c r="AV101">
        <v>0</v>
      </c>
      <c r="AW101">
        <v>2</v>
      </c>
      <c r="AX101">
        <v>37602453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Y101*Source!I156</f>
        <v>17.3184</v>
      </c>
      <c r="CY101">
        <f>AA101</f>
        <v>0</v>
      </c>
      <c r="CZ101">
        <f>AE101</f>
        <v>0</v>
      </c>
      <c r="DA101">
        <f>AI101</f>
        <v>1</v>
      </c>
      <c r="DB101">
        <v>0</v>
      </c>
    </row>
    <row r="102" spans="1:106" x14ac:dyDescent="0.2">
      <c r="A102">
        <f>ROW(Source!A157)</f>
        <v>157</v>
      </c>
      <c r="B102">
        <v>37598633</v>
      </c>
      <c r="C102">
        <v>37600207</v>
      </c>
      <c r="D102">
        <v>34187831</v>
      </c>
      <c r="E102">
        <v>1</v>
      </c>
      <c r="F102">
        <v>1</v>
      </c>
      <c r="G102">
        <v>15</v>
      </c>
      <c r="H102">
        <v>2</v>
      </c>
      <c r="I102" t="s">
        <v>232</v>
      </c>
      <c r="J102" t="s">
        <v>233</v>
      </c>
      <c r="K102" t="s">
        <v>234</v>
      </c>
      <c r="L102">
        <v>1368</v>
      </c>
      <c r="N102">
        <v>1011</v>
      </c>
      <c r="O102" t="s">
        <v>219</v>
      </c>
      <c r="P102" t="s">
        <v>219</v>
      </c>
      <c r="Q102">
        <v>1</v>
      </c>
      <c r="W102">
        <v>0</v>
      </c>
      <c r="X102">
        <v>71869596</v>
      </c>
      <c r="Y102">
        <v>0.02</v>
      </c>
      <c r="AA102">
        <v>0</v>
      </c>
      <c r="AB102">
        <v>782.71</v>
      </c>
      <c r="AC102">
        <v>410.24</v>
      </c>
      <c r="AD102">
        <v>0</v>
      </c>
      <c r="AE102">
        <v>0</v>
      </c>
      <c r="AF102">
        <v>782.71</v>
      </c>
      <c r="AG102">
        <v>410.24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0.02</v>
      </c>
      <c r="AU102" t="s">
        <v>3</v>
      </c>
      <c r="AV102">
        <v>0</v>
      </c>
      <c r="AW102">
        <v>2</v>
      </c>
      <c r="AX102">
        <v>37602454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Y102*Source!I157</f>
        <v>0.22449000000000002</v>
      </c>
      <c r="CY102">
        <f>AB102</f>
        <v>782.71</v>
      </c>
      <c r="CZ102">
        <f>AF102</f>
        <v>782.71</v>
      </c>
      <c r="DA102">
        <f>AJ102</f>
        <v>1</v>
      </c>
      <c r="DB102">
        <v>0</v>
      </c>
    </row>
    <row r="103" spans="1:106" x14ac:dyDescent="0.2">
      <c r="A103">
        <f>ROW(Source!A157)</f>
        <v>157</v>
      </c>
      <c r="B103">
        <v>37598633</v>
      </c>
      <c r="C103">
        <v>37600207</v>
      </c>
      <c r="D103">
        <v>34187830</v>
      </c>
      <c r="E103">
        <v>1</v>
      </c>
      <c r="F103">
        <v>1</v>
      </c>
      <c r="G103">
        <v>15</v>
      </c>
      <c r="H103">
        <v>2</v>
      </c>
      <c r="I103" t="s">
        <v>235</v>
      </c>
      <c r="J103" t="s">
        <v>236</v>
      </c>
      <c r="K103" t="s">
        <v>237</v>
      </c>
      <c r="L103">
        <v>1368</v>
      </c>
      <c r="N103">
        <v>1011</v>
      </c>
      <c r="O103" t="s">
        <v>219</v>
      </c>
      <c r="P103" t="s">
        <v>219</v>
      </c>
      <c r="Q103">
        <v>1</v>
      </c>
      <c r="W103">
        <v>0</v>
      </c>
      <c r="X103">
        <v>-1411098748</v>
      </c>
      <c r="Y103">
        <v>1.7999999999999999E-2</v>
      </c>
      <c r="AA103">
        <v>0</v>
      </c>
      <c r="AB103">
        <v>939.75</v>
      </c>
      <c r="AC103">
        <v>473.4</v>
      </c>
      <c r="AD103">
        <v>0</v>
      </c>
      <c r="AE103">
        <v>0</v>
      </c>
      <c r="AF103">
        <v>939.75</v>
      </c>
      <c r="AG103">
        <v>473.4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1.7999999999999999E-2</v>
      </c>
      <c r="AU103" t="s">
        <v>3</v>
      </c>
      <c r="AV103">
        <v>0</v>
      </c>
      <c r="AW103">
        <v>2</v>
      </c>
      <c r="AX103">
        <v>37602455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Y103*Source!I157</f>
        <v>0.202041</v>
      </c>
      <c r="CY103">
        <f>AB103</f>
        <v>939.75</v>
      </c>
      <c r="CZ103">
        <f>AF103</f>
        <v>939.75</v>
      </c>
      <c r="DA103">
        <f>AJ103</f>
        <v>1</v>
      </c>
      <c r="DB103">
        <v>0</v>
      </c>
    </row>
    <row r="104" spans="1:106" x14ac:dyDescent="0.2">
      <c r="A104">
        <f>ROW(Source!A158)</f>
        <v>158</v>
      </c>
      <c r="B104">
        <v>37598633</v>
      </c>
      <c r="C104">
        <v>37600212</v>
      </c>
      <c r="D104">
        <v>34187831</v>
      </c>
      <c r="E104">
        <v>1</v>
      </c>
      <c r="F104">
        <v>1</v>
      </c>
      <c r="G104">
        <v>15</v>
      </c>
      <c r="H104">
        <v>2</v>
      </c>
      <c r="I104" t="s">
        <v>232</v>
      </c>
      <c r="J104" t="s">
        <v>233</v>
      </c>
      <c r="K104" t="s">
        <v>234</v>
      </c>
      <c r="L104">
        <v>1368</v>
      </c>
      <c r="N104">
        <v>1011</v>
      </c>
      <c r="O104" t="s">
        <v>219</v>
      </c>
      <c r="P104" t="s">
        <v>219</v>
      </c>
      <c r="Q104">
        <v>1</v>
      </c>
      <c r="W104">
        <v>0</v>
      </c>
      <c r="X104">
        <v>71869596</v>
      </c>
      <c r="Y104">
        <v>0.25</v>
      </c>
      <c r="AA104">
        <v>0</v>
      </c>
      <c r="AB104">
        <v>782.71</v>
      </c>
      <c r="AC104">
        <v>410.24</v>
      </c>
      <c r="AD104">
        <v>0</v>
      </c>
      <c r="AE104">
        <v>0</v>
      </c>
      <c r="AF104">
        <v>782.71</v>
      </c>
      <c r="AG104">
        <v>410.24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1</v>
      </c>
      <c r="AQ104">
        <v>0</v>
      </c>
      <c r="AR104">
        <v>0</v>
      </c>
      <c r="AS104" t="s">
        <v>3</v>
      </c>
      <c r="AT104">
        <v>0.01</v>
      </c>
      <c r="AU104" t="s">
        <v>40</v>
      </c>
      <c r="AV104">
        <v>0</v>
      </c>
      <c r="AW104">
        <v>2</v>
      </c>
      <c r="AX104">
        <v>37602456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Y104*Source!I158</f>
        <v>2.8061250000000002</v>
      </c>
      <c r="CY104">
        <f>AB104</f>
        <v>782.71</v>
      </c>
      <c r="CZ104">
        <f>AF104</f>
        <v>782.71</v>
      </c>
      <c r="DA104">
        <f>AJ104</f>
        <v>1</v>
      </c>
      <c r="DB104">
        <v>0</v>
      </c>
    </row>
    <row r="105" spans="1:106" x14ac:dyDescent="0.2">
      <c r="A105">
        <f>ROW(Source!A158)</f>
        <v>158</v>
      </c>
      <c r="B105">
        <v>37598633</v>
      </c>
      <c r="C105">
        <v>37600212</v>
      </c>
      <c r="D105">
        <v>34187830</v>
      </c>
      <c r="E105">
        <v>1</v>
      </c>
      <c r="F105">
        <v>1</v>
      </c>
      <c r="G105">
        <v>15</v>
      </c>
      <c r="H105">
        <v>2</v>
      </c>
      <c r="I105" t="s">
        <v>235</v>
      </c>
      <c r="J105" t="s">
        <v>236</v>
      </c>
      <c r="K105" t="s">
        <v>237</v>
      </c>
      <c r="L105">
        <v>1368</v>
      </c>
      <c r="N105">
        <v>1011</v>
      </c>
      <c r="O105" t="s">
        <v>219</v>
      </c>
      <c r="P105" t="s">
        <v>219</v>
      </c>
      <c r="Q105">
        <v>1</v>
      </c>
      <c r="W105">
        <v>0</v>
      </c>
      <c r="X105">
        <v>-1411098748</v>
      </c>
      <c r="Y105">
        <v>0.2</v>
      </c>
      <c r="AA105">
        <v>0</v>
      </c>
      <c r="AB105">
        <v>939.75</v>
      </c>
      <c r="AC105">
        <v>473.4</v>
      </c>
      <c r="AD105">
        <v>0</v>
      </c>
      <c r="AE105">
        <v>0</v>
      </c>
      <c r="AF105">
        <v>939.75</v>
      </c>
      <c r="AG105">
        <v>473.4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1</v>
      </c>
      <c r="AQ105">
        <v>0</v>
      </c>
      <c r="AR105">
        <v>0</v>
      </c>
      <c r="AS105" t="s">
        <v>3</v>
      </c>
      <c r="AT105">
        <v>8.0000000000000002E-3</v>
      </c>
      <c r="AU105" t="s">
        <v>40</v>
      </c>
      <c r="AV105">
        <v>0</v>
      </c>
      <c r="AW105">
        <v>2</v>
      </c>
      <c r="AX105">
        <v>37602457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Y105*Source!I158</f>
        <v>2.2449000000000003</v>
      </c>
      <c r="CY105">
        <f>AB105</f>
        <v>939.75</v>
      </c>
      <c r="CZ105">
        <f>AF105</f>
        <v>939.75</v>
      </c>
      <c r="DA105">
        <f>AJ105</f>
        <v>1</v>
      </c>
      <c r="DB105">
        <v>0</v>
      </c>
    </row>
    <row r="106" spans="1:106" x14ac:dyDescent="0.2">
      <c r="A106">
        <f>ROW(Source!A193)</f>
        <v>193</v>
      </c>
      <c r="B106">
        <v>37598633</v>
      </c>
      <c r="C106">
        <v>37600217</v>
      </c>
      <c r="D106">
        <v>34176775</v>
      </c>
      <c r="E106">
        <v>15</v>
      </c>
      <c r="F106">
        <v>1</v>
      </c>
      <c r="G106">
        <v>15</v>
      </c>
      <c r="H106">
        <v>1</v>
      </c>
      <c r="I106" t="s">
        <v>213</v>
      </c>
      <c r="J106" t="s">
        <v>3</v>
      </c>
      <c r="K106" t="s">
        <v>214</v>
      </c>
      <c r="L106">
        <v>1191</v>
      </c>
      <c r="N106">
        <v>1013</v>
      </c>
      <c r="O106" t="s">
        <v>215</v>
      </c>
      <c r="P106" t="s">
        <v>215</v>
      </c>
      <c r="Q106">
        <v>1</v>
      </c>
      <c r="W106">
        <v>0</v>
      </c>
      <c r="X106">
        <v>476480486</v>
      </c>
      <c r="Y106">
        <v>14.590000000000002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1</v>
      </c>
      <c r="AQ106">
        <v>0</v>
      </c>
      <c r="AR106">
        <v>0</v>
      </c>
      <c r="AS106" t="s">
        <v>3</v>
      </c>
      <c r="AT106">
        <v>72.95</v>
      </c>
      <c r="AU106" t="s">
        <v>152</v>
      </c>
      <c r="AV106">
        <v>1</v>
      </c>
      <c r="AW106">
        <v>2</v>
      </c>
      <c r="AX106">
        <v>37602458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Y106*Source!I193</f>
        <v>64.196000000000012</v>
      </c>
      <c r="CY106">
        <f>AD106</f>
        <v>0</v>
      </c>
      <c r="CZ106">
        <f>AH106</f>
        <v>0</v>
      </c>
      <c r="DA106">
        <f>AL106</f>
        <v>1</v>
      </c>
      <c r="DB106">
        <v>0</v>
      </c>
    </row>
    <row r="107" spans="1:106" x14ac:dyDescent="0.2">
      <c r="A107">
        <f>ROW(Source!A193)</f>
        <v>193</v>
      </c>
      <c r="B107">
        <v>37598633</v>
      </c>
      <c r="C107">
        <v>37600217</v>
      </c>
      <c r="D107">
        <v>34188392</v>
      </c>
      <c r="E107">
        <v>1</v>
      </c>
      <c r="F107">
        <v>1</v>
      </c>
      <c r="G107">
        <v>15</v>
      </c>
      <c r="H107">
        <v>2</v>
      </c>
      <c r="I107" t="s">
        <v>300</v>
      </c>
      <c r="J107" t="s">
        <v>301</v>
      </c>
      <c r="K107" t="s">
        <v>302</v>
      </c>
      <c r="L107">
        <v>1368</v>
      </c>
      <c r="N107">
        <v>1011</v>
      </c>
      <c r="O107" t="s">
        <v>219</v>
      </c>
      <c r="P107" t="s">
        <v>219</v>
      </c>
      <c r="Q107">
        <v>1</v>
      </c>
      <c r="W107">
        <v>0</v>
      </c>
      <c r="X107">
        <v>-1028291446</v>
      </c>
      <c r="Y107">
        <v>5.2000000000000005E-2</v>
      </c>
      <c r="AA107">
        <v>0</v>
      </c>
      <c r="AB107">
        <v>542.23</v>
      </c>
      <c r="AC107">
        <v>271.13</v>
      </c>
      <c r="AD107">
        <v>0</v>
      </c>
      <c r="AE107">
        <v>0</v>
      </c>
      <c r="AF107">
        <v>542.23</v>
      </c>
      <c r="AG107">
        <v>271.13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1</v>
      </c>
      <c r="AQ107">
        <v>0</v>
      </c>
      <c r="AR107">
        <v>0</v>
      </c>
      <c r="AS107" t="s">
        <v>3</v>
      </c>
      <c r="AT107">
        <v>0.26</v>
      </c>
      <c r="AU107" t="s">
        <v>152</v>
      </c>
      <c r="AV107">
        <v>0</v>
      </c>
      <c r="AW107">
        <v>2</v>
      </c>
      <c r="AX107">
        <v>37602459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Y107*Source!I193</f>
        <v>0.22880000000000003</v>
      </c>
      <c r="CY107">
        <f>AB107</f>
        <v>542.23</v>
      </c>
      <c r="CZ107">
        <f>AF107</f>
        <v>542.23</v>
      </c>
      <c r="DA107">
        <f>AJ107</f>
        <v>1</v>
      </c>
      <c r="DB107">
        <v>0</v>
      </c>
    </row>
    <row r="108" spans="1:106" x14ac:dyDescent="0.2">
      <c r="A108">
        <f>ROW(Source!A193)</f>
        <v>193</v>
      </c>
      <c r="B108">
        <v>37598633</v>
      </c>
      <c r="C108">
        <v>37600217</v>
      </c>
      <c r="D108">
        <v>34191394</v>
      </c>
      <c r="E108">
        <v>1</v>
      </c>
      <c r="F108">
        <v>1</v>
      </c>
      <c r="G108">
        <v>15</v>
      </c>
      <c r="H108">
        <v>3</v>
      </c>
      <c r="I108" t="s">
        <v>303</v>
      </c>
      <c r="J108" t="s">
        <v>304</v>
      </c>
      <c r="K108" t="s">
        <v>305</v>
      </c>
      <c r="L108">
        <v>1339</v>
      </c>
      <c r="N108">
        <v>1007</v>
      </c>
      <c r="O108" t="s">
        <v>115</v>
      </c>
      <c r="P108" t="s">
        <v>115</v>
      </c>
      <c r="Q108">
        <v>1</v>
      </c>
      <c r="W108">
        <v>0</v>
      </c>
      <c r="X108">
        <v>-1694027702</v>
      </c>
      <c r="Y108">
        <v>4.3</v>
      </c>
      <c r="AA108">
        <v>3471.23</v>
      </c>
      <c r="AB108">
        <v>0</v>
      </c>
      <c r="AC108">
        <v>0</v>
      </c>
      <c r="AD108">
        <v>0</v>
      </c>
      <c r="AE108">
        <v>3471.23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4.3</v>
      </c>
      <c r="AU108" t="s">
        <v>3</v>
      </c>
      <c r="AV108">
        <v>0</v>
      </c>
      <c r="AW108">
        <v>2</v>
      </c>
      <c r="AX108">
        <v>37602460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Y108*Source!I193</f>
        <v>18.920000000000002</v>
      </c>
      <c r="CY108">
        <f>AA108</f>
        <v>3471.23</v>
      </c>
      <c r="CZ108">
        <f>AE108</f>
        <v>3471.23</v>
      </c>
      <c r="DA108">
        <f>AI108</f>
        <v>1</v>
      </c>
      <c r="DB108">
        <v>0</v>
      </c>
    </row>
    <row r="109" spans="1:106" x14ac:dyDescent="0.2">
      <c r="A109">
        <f>ROW(Source!A193)</f>
        <v>193</v>
      </c>
      <c r="B109">
        <v>37598633</v>
      </c>
      <c r="C109">
        <v>37600217</v>
      </c>
      <c r="D109">
        <v>34191165</v>
      </c>
      <c r="E109">
        <v>1</v>
      </c>
      <c r="F109">
        <v>1</v>
      </c>
      <c r="G109">
        <v>15</v>
      </c>
      <c r="H109">
        <v>3</v>
      </c>
      <c r="I109" t="s">
        <v>292</v>
      </c>
      <c r="J109" t="s">
        <v>293</v>
      </c>
      <c r="K109" t="s">
        <v>294</v>
      </c>
      <c r="L109">
        <v>1339</v>
      </c>
      <c r="N109">
        <v>1007</v>
      </c>
      <c r="O109" t="s">
        <v>115</v>
      </c>
      <c r="P109" t="s">
        <v>115</v>
      </c>
      <c r="Q109">
        <v>1</v>
      </c>
      <c r="W109">
        <v>0</v>
      </c>
      <c r="X109">
        <v>-1647091918</v>
      </c>
      <c r="Y109">
        <v>0.02</v>
      </c>
      <c r="AA109">
        <v>2914.58</v>
      </c>
      <c r="AB109">
        <v>0</v>
      </c>
      <c r="AC109">
        <v>0</v>
      </c>
      <c r="AD109">
        <v>0</v>
      </c>
      <c r="AE109">
        <v>2914.58</v>
      </c>
      <c r="AF109">
        <v>0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0.02</v>
      </c>
      <c r="AU109" t="s">
        <v>3</v>
      </c>
      <c r="AV109">
        <v>0</v>
      </c>
      <c r="AW109">
        <v>2</v>
      </c>
      <c r="AX109">
        <v>37602461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Y109*Source!I193</f>
        <v>8.8000000000000009E-2</v>
      </c>
      <c r="CY109">
        <f>AA109</f>
        <v>2914.58</v>
      </c>
      <c r="CZ109">
        <f>AE109</f>
        <v>2914.58</v>
      </c>
      <c r="DA109">
        <f>AI109</f>
        <v>1</v>
      </c>
      <c r="DB109">
        <v>0</v>
      </c>
    </row>
    <row r="110" spans="1:106" x14ac:dyDescent="0.2">
      <c r="A110">
        <f>ROW(Source!A193)</f>
        <v>193</v>
      </c>
      <c r="B110">
        <v>37598633</v>
      </c>
      <c r="C110">
        <v>37600217</v>
      </c>
      <c r="D110">
        <v>34191659</v>
      </c>
      <c r="E110">
        <v>1</v>
      </c>
      <c r="F110">
        <v>1</v>
      </c>
      <c r="G110">
        <v>15</v>
      </c>
      <c r="H110">
        <v>3</v>
      </c>
      <c r="I110" t="s">
        <v>306</v>
      </c>
      <c r="J110" t="s">
        <v>307</v>
      </c>
      <c r="K110" t="s">
        <v>308</v>
      </c>
      <c r="L110">
        <v>1339</v>
      </c>
      <c r="N110">
        <v>1007</v>
      </c>
      <c r="O110" t="s">
        <v>115</v>
      </c>
      <c r="P110" t="s">
        <v>115</v>
      </c>
      <c r="Q110">
        <v>1</v>
      </c>
      <c r="W110">
        <v>0</v>
      </c>
      <c r="X110">
        <v>-714644841</v>
      </c>
      <c r="Y110">
        <v>1.6</v>
      </c>
      <c r="AA110">
        <v>8526.86</v>
      </c>
      <c r="AB110">
        <v>0</v>
      </c>
      <c r="AC110">
        <v>0</v>
      </c>
      <c r="AD110">
        <v>0</v>
      </c>
      <c r="AE110">
        <v>8526.86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1.6</v>
      </c>
      <c r="AU110" t="s">
        <v>3</v>
      </c>
      <c r="AV110">
        <v>0</v>
      </c>
      <c r="AW110">
        <v>2</v>
      </c>
      <c r="AX110">
        <v>37602462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Y110*Source!I193</f>
        <v>7.0400000000000009</v>
      </c>
      <c r="CY110">
        <f>AA110</f>
        <v>8526.86</v>
      </c>
      <c r="CZ110">
        <f>AE110</f>
        <v>8526.86</v>
      </c>
      <c r="DA110">
        <f>AI110</f>
        <v>1</v>
      </c>
      <c r="DB110">
        <v>0</v>
      </c>
    </row>
    <row r="111" spans="1:106" x14ac:dyDescent="0.2">
      <c r="A111">
        <f>ROW(Source!A194)</f>
        <v>194</v>
      </c>
      <c r="B111">
        <v>37598633</v>
      </c>
      <c r="C111">
        <v>37600228</v>
      </c>
      <c r="D111">
        <v>34188506</v>
      </c>
      <c r="E111">
        <v>1</v>
      </c>
      <c r="F111">
        <v>1</v>
      </c>
      <c r="G111">
        <v>15</v>
      </c>
      <c r="H111">
        <v>2</v>
      </c>
      <c r="I111" t="s">
        <v>229</v>
      </c>
      <c r="J111" t="s">
        <v>230</v>
      </c>
      <c r="K111" t="s">
        <v>231</v>
      </c>
      <c r="L111">
        <v>1368</v>
      </c>
      <c r="N111">
        <v>1011</v>
      </c>
      <c r="O111" t="s">
        <v>219</v>
      </c>
      <c r="P111" t="s">
        <v>219</v>
      </c>
      <c r="Q111">
        <v>1</v>
      </c>
      <c r="W111">
        <v>0</v>
      </c>
      <c r="X111">
        <v>347358450</v>
      </c>
      <c r="Y111">
        <v>5.3699999999999998E-2</v>
      </c>
      <c r="AA111">
        <v>0</v>
      </c>
      <c r="AB111">
        <v>1296.1600000000001</v>
      </c>
      <c r="AC111">
        <v>521.28</v>
      </c>
      <c r="AD111">
        <v>0</v>
      </c>
      <c r="AE111">
        <v>0</v>
      </c>
      <c r="AF111">
        <v>1296.1600000000001</v>
      </c>
      <c r="AG111">
        <v>521.28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5.3699999999999998E-2</v>
      </c>
      <c r="AU111" t="s">
        <v>3</v>
      </c>
      <c r="AV111">
        <v>0</v>
      </c>
      <c r="AW111">
        <v>2</v>
      </c>
      <c r="AX111">
        <v>37602463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Y111*Source!I194</f>
        <v>0.76552034999999996</v>
      </c>
      <c r="CY111">
        <f>AB111</f>
        <v>1296.1600000000001</v>
      </c>
      <c r="CZ111">
        <f>AF111</f>
        <v>1296.1600000000001</v>
      </c>
      <c r="DA111">
        <f>AJ111</f>
        <v>1</v>
      </c>
      <c r="DB111">
        <v>0</v>
      </c>
    </row>
    <row r="112" spans="1:106" x14ac:dyDescent="0.2">
      <c r="A112">
        <f>ROW(Source!A195)</f>
        <v>195</v>
      </c>
      <c r="B112">
        <v>37598633</v>
      </c>
      <c r="C112">
        <v>37600231</v>
      </c>
      <c r="D112">
        <v>34187831</v>
      </c>
      <c r="E112">
        <v>1</v>
      </c>
      <c r="F112">
        <v>1</v>
      </c>
      <c r="G112">
        <v>15</v>
      </c>
      <c r="H112">
        <v>2</v>
      </c>
      <c r="I112" t="s">
        <v>232</v>
      </c>
      <c r="J112" t="s">
        <v>233</v>
      </c>
      <c r="K112" t="s">
        <v>234</v>
      </c>
      <c r="L112">
        <v>1368</v>
      </c>
      <c r="N112">
        <v>1011</v>
      </c>
      <c r="O112" t="s">
        <v>219</v>
      </c>
      <c r="P112" t="s">
        <v>219</v>
      </c>
      <c r="Q112">
        <v>1</v>
      </c>
      <c r="W112">
        <v>0</v>
      </c>
      <c r="X112">
        <v>71869596</v>
      </c>
      <c r="Y112">
        <v>0.02</v>
      </c>
      <c r="AA112">
        <v>0</v>
      </c>
      <c r="AB112">
        <v>782.71</v>
      </c>
      <c r="AC112">
        <v>410.24</v>
      </c>
      <c r="AD112">
        <v>0</v>
      </c>
      <c r="AE112">
        <v>0</v>
      </c>
      <c r="AF112">
        <v>782.71</v>
      </c>
      <c r="AG112">
        <v>410.24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0.02</v>
      </c>
      <c r="AU112" t="s">
        <v>3</v>
      </c>
      <c r="AV112">
        <v>0</v>
      </c>
      <c r="AW112">
        <v>2</v>
      </c>
      <c r="AX112">
        <v>37602464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Y112*Source!I195</f>
        <v>0.28510999999999997</v>
      </c>
      <c r="CY112">
        <f>AB112</f>
        <v>782.71</v>
      </c>
      <c r="CZ112">
        <f>AF112</f>
        <v>782.71</v>
      </c>
      <c r="DA112">
        <f>AJ112</f>
        <v>1</v>
      </c>
      <c r="DB112">
        <v>0</v>
      </c>
    </row>
    <row r="113" spans="1:106" x14ac:dyDescent="0.2">
      <c r="A113">
        <f>ROW(Source!A195)</f>
        <v>195</v>
      </c>
      <c r="B113">
        <v>37598633</v>
      </c>
      <c r="C113">
        <v>37600231</v>
      </c>
      <c r="D113">
        <v>34187830</v>
      </c>
      <c r="E113">
        <v>1</v>
      </c>
      <c r="F113">
        <v>1</v>
      </c>
      <c r="G113">
        <v>15</v>
      </c>
      <c r="H113">
        <v>2</v>
      </c>
      <c r="I113" t="s">
        <v>235</v>
      </c>
      <c r="J113" t="s">
        <v>236</v>
      </c>
      <c r="K113" t="s">
        <v>237</v>
      </c>
      <c r="L113">
        <v>1368</v>
      </c>
      <c r="N113">
        <v>1011</v>
      </c>
      <c r="O113" t="s">
        <v>219</v>
      </c>
      <c r="P113" t="s">
        <v>219</v>
      </c>
      <c r="Q113">
        <v>1</v>
      </c>
      <c r="W113">
        <v>0</v>
      </c>
      <c r="X113">
        <v>-1411098748</v>
      </c>
      <c r="Y113">
        <v>1.7999999999999999E-2</v>
      </c>
      <c r="AA113">
        <v>0</v>
      </c>
      <c r="AB113">
        <v>939.75</v>
      </c>
      <c r="AC113">
        <v>473.4</v>
      </c>
      <c r="AD113">
        <v>0</v>
      </c>
      <c r="AE113">
        <v>0</v>
      </c>
      <c r="AF113">
        <v>939.75</v>
      </c>
      <c r="AG113">
        <v>473.4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1.7999999999999999E-2</v>
      </c>
      <c r="AU113" t="s">
        <v>3</v>
      </c>
      <c r="AV113">
        <v>0</v>
      </c>
      <c r="AW113">
        <v>2</v>
      </c>
      <c r="AX113">
        <v>37602465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Y113*Source!I195</f>
        <v>0.25659899999999997</v>
      </c>
      <c r="CY113">
        <f>AB113</f>
        <v>939.75</v>
      </c>
      <c r="CZ113">
        <f>AF113</f>
        <v>939.75</v>
      </c>
      <c r="DA113">
        <f>AJ113</f>
        <v>1</v>
      </c>
      <c r="DB113">
        <v>0</v>
      </c>
    </row>
    <row r="114" spans="1:106" x14ac:dyDescent="0.2">
      <c r="A114">
        <f>ROW(Source!A196)</f>
        <v>196</v>
      </c>
      <c r="B114">
        <v>37598633</v>
      </c>
      <c r="C114">
        <v>37600236</v>
      </c>
      <c r="D114">
        <v>34187831</v>
      </c>
      <c r="E114">
        <v>1</v>
      </c>
      <c r="F114">
        <v>1</v>
      </c>
      <c r="G114">
        <v>15</v>
      </c>
      <c r="H114">
        <v>2</v>
      </c>
      <c r="I114" t="s">
        <v>232</v>
      </c>
      <c r="J114" t="s">
        <v>233</v>
      </c>
      <c r="K114" t="s">
        <v>234</v>
      </c>
      <c r="L114">
        <v>1368</v>
      </c>
      <c r="N114">
        <v>1011</v>
      </c>
      <c r="O114" t="s">
        <v>219</v>
      </c>
      <c r="P114" t="s">
        <v>219</v>
      </c>
      <c r="Q114">
        <v>1</v>
      </c>
      <c r="W114">
        <v>0</v>
      </c>
      <c r="X114">
        <v>71869596</v>
      </c>
      <c r="Y114">
        <v>0.25</v>
      </c>
      <c r="AA114">
        <v>0</v>
      </c>
      <c r="AB114">
        <v>782.71</v>
      </c>
      <c r="AC114">
        <v>410.24</v>
      </c>
      <c r="AD114">
        <v>0</v>
      </c>
      <c r="AE114">
        <v>0</v>
      </c>
      <c r="AF114">
        <v>782.71</v>
      </c>
      <c r="AG114">
        <v>410.24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1</v>
      </c>
      <c r="AQ114">
        <v>0</v>
      </c>
      <c r="AR114">
        <v>0</v>
      </c>
      <c r="AS114" t="s">
        <v>3</v>
      </c>
      <c r="AT114">
        <v>0.01</v>
      </c>
      <c r="AU114" t="s">
        <v>40</v>
      </c>
      <c r="AV114">
        <v>0</v>
      </c>
      <c r="AW114">
        <v>2</v>
      </c>
      <c r="AX114">
        <v>37602466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Y114*Source!I196</f>
        <v>3.5638749999999999</v>
      </c>
      <c r="CY114">
        <f>AB114</f>
        <v>782.71</v>
      </c>
      <c r="CZ114">
        <f>AF114</f>
        <v>782.71</v>
      </c>
      <c r="DA114">
        <f>AJ114</f>
        <v>1</v>
      </c>
      <c r="DB114">
        <v>0</v>
      </c>
    </row>
    <row r="115" spans="1:106" x14ac:dyDescent="0.2">
      <c r="A115">
        <f>ROW(Source!A196)</f>
        <v>196</v>
      </c>
      <c r="B115">
        <v>37598633</v>
      </c>
      <c r="C115">
        <v>37600236</v>
      </c>
      <c r="D115">
        <v>34187830</v>
      </c>
      <c r="E115">
        <v>1</v>
      </c>
      <c r="F115">
        <v>1</v>
      </c>
      <c r="G115">
        <v>15</v>
      </c>
      <c r="H115">
        <v>2</v>
      </c>
      <c r="I115" t="s">
        <v>235</v>
      </c>
      <c r="J115" t="s">
        <v>236</v>
      </c>
      <c r="K115" t="s">
        <v>237</v>
      </c>
      <c r="L115">
        <v>1368</v>
      </c>
      <c r="N115">
        <v>1011</v>
      </c>
      <c r="O115" t="s">
        <v>219</v>
      </c>
      <c r="P115" t="s">
        <v>219</v>
      </c>
      <c r="Q115">
        <v>1</v>
      </c>
      <c r="W115">
        <v>0</v>
      </c>
      <c r="X115">
        <v>-1411098748</v>
      </c>
      <c r="Y115">
        <v>0.2</v>
      </c>
      <c r="AA115">
        <v>0</v>
      </c>
      <c r="AB115">
        <v>939.75</v>
      </c>
      <c r="AC115">
        <v>473.4</v>
      </c>
      <c r="AD115">
        <v>0</v>
      </c>
      <c r="AE115">
        <v>0</v>
      </c>
      <c r="AF115">
        <v>939.75</v>
      </c>
      <c r="AG115">
        <v>473.4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1</v>
      </c>
      <c r="AQ115">
        <v>0</v>
      </c>
      <c r="AR115">
        <v>0</v>
      </c>
      <c r="AS115" t="s">
        <v>3</v>
      </c>
      <c r="AT115">
        <v>8.0000000000000002E-3</v>
      </c>
      <c r="AU115" t="s">
        <v>40</v>
      </c>
      <c r="AV115">
        <v>0</v>
      </c>
      <c r="AW115">
        <v>2</v>
      </c>
      <c r="AX115">
        <v>37602467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Y115*Source!I196</f>
        <v>2.8511000000000002</v>
      </c>
      <c r="CY115">
        <f>AB115</f>
        <v>939.75</v>
      </c>
      <c r="CZ115">
        <f>AF115</f>
        <v>939.75</v>
      </c>
      <c r="DA115">
        <f>AJ115</f>
        <v>1</v>
      </c>
      <c r="DB115">
        <v>0</v>
      </c>
    </row>
    <row r="116" spans="1:106" x14ac:dyDescent="0.2">
      <c r="A116">
        <f>ROW(Source!A197)</f>
        <v>197</v>
      </c>
      <c r="B116">
        <v>37598633</v>
      </c>
      <c r="C116">
        <v>37600241</v>
      </c>
      <c r="D116">
        <v>34176775</v>
      </c>
      <c r="E116">
        <v>15</v>
      </c>
      <c r="F116">
        <v>1</v>
      </c>
      <c r="G116">
        <v>15</v>
      </c>
      <c r="H116">
        <v>1</v>
      </c>
      <c r="I116" t="s">
        <v>213</v>
      </c>
      <c r="J116" t="s">
        <v>3</v>
      </c>
      <c r="K116" t="s">
        <v>214</v>
      </c>
      <c r="L116">
        <v>1191</v>
      </c>
      <c r="N116">
        <v>1013</v>
      </c>
      <c r="O116" t="s">
        <v>215</v>
      </c>
      <c r="P116" t="s">
        <v>215</v>
      </c>
      <c r="Q116">
        <v>1</v>
      </c>
      <c r="W116">
        <v>0</v>
      </c>
      <c r="X116">
        <v>476480486</v>
      </c>
      <c r="Y116">
        <v>72.95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1</v>
      </c>
      <c r="AQ116">
        <v>0</v>
      </c>
      <c r="AR116">
        <v>0</v>
      </c>
      <c r="AS116" t="s">
        <v>3</v>
      </c>
      <c r="AT116">
        <v>72.95</v>
      </c>
      <c r="AU116" t="s">
        <v>3</v>
      </c>
      <c r="AV116">
        <v>1</v>
      </c>
      <c r="AW116">
        <v>2</v>
      </c>
      <c r="AX116">
        <v>37602468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Y116*Source!I197</f>
        <v>320.98</v>
      </c>
      <c r="CY116">
        <f>AD116</f>
        <v>0</v>
      </c>
      <c r="CZ116">
        <f>AH116</f>
        <v>0</v>
      </c>
      <c r="DA116">
        <f>AL116</f>
        <v>1</v>
      </c>
      <c r="DB116">
        <v>0</v>
      </c>
    </row>
    <row r="117" spans="1:106" x14ac:dyDescent="0.2">
      <c r="A117">
        <f>ROW(Source!A197)</f>
        <v>197</v>
      </c>
      <c r="B117">
        <v>37598633</v>
      </c>
      <c r="C117">
        <v>37600241</v>
      </c>
      <c r="D117">
        <v>34188392</v>
      </c>
      <c r="E117">
        <v>1</v>
      </c>
      <c r="F117">
        <v>1</v>
      </c>
      <c r="G117">
        <v>15</v>
      </c>
      <c r="H117">
        <v>2</v>
      </c>
      <c r="I117" t="s">
        <v>300</v>
      </c>
      <c r="J117" t="s">
        <v>301</v>
      </c>
      <c r="K117" t="s">
        <v>302</v>
      </c>
      <c r="L117">
        <v>1368</v>
      </c>
      <c r="N117">
        <v>1011</v>
      </c>
      <c r="O117" t="s">
        <v>219</v>
      </c>
      <c r="P117" t="s">
        <v>219</v>
      </c>
      <c r="Q117">
        <v>1</v>
      </c>
      <c r="W117">
        <v>0</v>
      </c>
      <c r="X117">
        <v>-1028291446</v>
      </c>
      <c r="Y117">
        <v>0.26</v>
      </c>
      <c r="AA117">
        <v>0</v>
      </c>
      <c r="AB117">
        <v>542.23</v>
      </c>
      <c r="AC117">
        <v>271.13</v>
      </c>
      <c r="AD117">
        <v>0</v>
      </c>
      <c r="AE117">
        <v>0</v>
      </c>
      <c r="AF117">
        <v>542.23</v>
      </c>
      <c r="AG117">
        <v>271.13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1</v>
      </c>
      <c r="AQ117">
        <v>0</v>
      </c>
      <c r="AR117">
        <v>0</v>
      </c>
      <c r="AS117" t="s">
        <v>3</v>
      </c>
      <c r="AT117">
        <v>0.26</v>
      </c>
      <c r="AU117" t="s">
        <v>3</v>
      </c>
      <c r="AV117">
        <v>0</v>
      </c>
      <c r="AW117">
        <v>2</v>
      </c>
      <c r="AX117">
        <v>37602469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Y117*Source!I197</f>
        <v>1.1440000000000001</v>
      </c>
      <c r="CY117">
        <f>AB117</f>
        <v>542.23</v>
      </c>
      <c r="CZ117">
        <f>AF117</f>
        <v>542.23</v>
      </c>
      <c r="DA117">
        <f>AJ117</f>
        <v>1</v>
      </c>
      <c r="DB117">
        <v>0</v>
      </c>
    </row>
    <row r="118" spans="1:106" x14ac:dyDescent="0.2">
      <c r="A118">
        <f>ROW(Source!A197)</f>
        <v>197</v>
      </c>
      <c r="B118">
        <v>37598633</v>
      </c>
      <c r="C118">
        <v>37600241</v>
      </c>
      <c r="D118">
        <v>34191394</v>
      </c>
      <c r="E118">
        <v>1</v>
      </c>
      <c r="F118">
        <v>1</v>
      </c>
      <c r="G118">
        <v>15</v>
      </c>
      <c r="H118">
        <v>3</v>
      </c>
      <c r="I118" t="s">
        <v>303</v>
      </c>
      <c r="J118" t="s">
        <v>304</v>
      </c>
      <c r="K118" t="s">
        <v>305</v>
      </c>
      <c r="L118">
        <v>1339</v>
      </c>
      <c r="N118">
        <v>1007</v>
      </c>
      <c r="O118" t="s">
        <v>115</v>
      </c>
      <c r="P118" t="s">
        <v>115</v>
      </c>
      <c r="Q118">
        <v>1</v>
      </c>
      <c r="W118">
        <v>0</v>
      </c>
      <c r="X118">
        <v>-1694027702</v>
      </c>
      <c r="Y118">
        <v>4.3</v>
      </c>
      <c r="AA118">
        <v>3471.23</v>
      </c>
      <c r="AB118">
        <v>0</v>
      </c>
      <c r="AC118">
        <v>0</v>
      </c>
      <c r="AD118">
        <v>0</v>
      </c>
      <c r="AE118">
        <v>3471.23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1</v>
      </c>
      <c r="AQ118">
        <v>0</v>
      </c>
      <c r="AR118">
        <v>0</v>
      </c>
      <c r="AS118" t="s">
        <v>3</v>
      </c>
      <c r="AT118">
        <v>4.3</v>
      </c>
      <c r="AU118" t="s">
        <v>3</v>
      </c>
      <c r="AV118">
        <v>0</v>
      </c>
      <c r="AW118">
        <v>2</v>
      </c>
      <c r="AX118">
        <v>37602470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Y118*Source!I197</f>
        <v>18.920000000000002</v>
      </c>
      <c r="CY118">
        <f>AA118</f>
        <v>3471.23</v>
      </c>
      <c r="CZ118">
        <f>AE118</f>
        <v>3471.23</v>
      </c>
      <c r="DA118">
        <f>AI118</f>
        <v>1</v>
      </c>
      <c r="DB118">
        <v>0</v>
      </c>
    </row>
    <row r="119" spans="1:106" x14ac:dyDescent="0.2">
      <c r="A119">
        <f>ROW(Source!A197)</f>
        <v>197</v>
      </c>
      <c r="B119">
        <v>37598633</v>
      </c>
      <c r="C119">
        <v>37600241</v>
      </c>
      <c r="D119">
        <v>34191165</v>
      </c>
      <c r="E119">
        <v>1</v>
      </c>
      <c r="F119">
        <v>1</v>
      </c>
      <c r="G119">
        <v>15</v>
      </c>
      <c r="H119">
        <v>3</v>
      </c>
      <c r="I119" t="s">
        <v>292</v>
      </c>
      <c r="J119" t="s">
        <v>293</v>
      </c>
      <c r="K119" t="s">
        <v>294</v>
      </c>
      <c r="L119">
        <v>1339</v>
      </c>
      <c r="N119">
        <v>1007</v>
      </c>
      <c r="O119" t="s">
        <v>115</v>
      </c>
      <c r="P119" t="s">
        <v>115</v>
      </c>
      <c r="Q119">
        <v>1</v>
      </c>
      <c r="W119">
        <v>0</v>
      </c>
      <c r="X119">
        <v>-1647091918</v>
      </c>
      <c r="Y119">
        <v>0.02</v>
      </c>
      <c r="AA119">
        <v>2914.58</v>
      </c>
      <c r="AB119">
        <v>0</v>
      </c>
      <c r="AC119">
        <v>0</v>
      </c>
      <c r="AD119">
        <v>0</v>
      </c>
      <c r="AE119">
        <v>2914.58</v>
      </c>
      <c r="AF119">
        <v>0</v>
      </c>
      <c r="AG119">
        <v>0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1</v>
      </c>
      <c r="AQ119">
        <v>0</v>
      </c>
      <c r="AR119">
        <v>0</v>
      </c>
      <c r="AS119" t="s">
        <v>3</v>
      </c>
      <c r="AT119">
        <v>0.02</v>
      </c>
      <c r="AU119" t="s">
        <v>3</v>
      </c>
      <c r="AV119">
        <v>0</v>
      </c>
      <c r="AW119">
        <v>2</v>
      </c>
      <c r="AX119">
        <v>37602471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Y119*Source!I197</f>
        <v>8.8000000000000009E-2</v>
      </c>
      <c r="CY119">
        <f>AA119</f>
        <v>2914.58</v>
      </c>
      <c r="CZ119">
        <f>AE119</f>
        <v>2914.58</v>
      </c>
      <c r="DA119">
        <f>AI119</f>
        <v>1</v>
      </c>
      <c r="DB119">
        <v>0</v>
      </c>
    </row>
    <row r="120" spans="1:106" x14ac:dyDescent="0.2">
      <c r="A120">
        <f>ROW(Source!A197)</f>
        <v>197</v>
      </c>
      <c r="B120">
        <v>37598633</v>
      </c>
      <c r="C120">
        <v>37600241</v>
      </c>
      <c r="D120">
        <v>34191659</v>
      </c>
      <c r="E120">
        <v>1</v>
      </c>
      <c r="F120">
        <v>1</v>
      </c>
      <c r="G120">
        <v>15</v>
      </c>
      <c r="H120">
        <v>3</v>
      </c>
      <c r="I120" t="s">
        <v>306</v>
      </c>
      <c r="J120" t="s">
        <v>307</v>
      </c>
      <c r="K120" t="s">
        <v>308</v>
      </c>
      <c r="L120">
        <v>1339</v>
      </c>
      <c r="N120">
        <v>1007</v>
      </c>
      <c r="O120" t="s">
        <v>115</v>
      </c>
      <c r="P120" t="s">
        <v>115</v>
      </c>
      <c r="Q120">
        <v>1</v>
      </c>
      <c r="W120">
        <v>0</v>
      </c>
      <c r="X120">
        <v>-714644841</v>
      </c>
      <c r="Y120">
        <v>1.6</v>
      </c>
      <c r="AA120">
        <v>8526.86</v>
      </c>
      <c r="AB120">
        <v>0</v>
      </c>
      <c r="AC120">
        <v>0</v>
      </c>
      <c r="AD120">
        <v>0</v>
      </c>
      <c r="AE120">
        <v>8526.86</v>
      </c>
      <c r="AF120">
        <v>0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1</v>
      </c>
      <c r="AQ120">
        <v>0</v>
      </c>
      <c r="AR120">
        <v>0</v>
      </c>
      <c r="AS120" t="s">
        <v>3</v>
      </c>
      <c r="AT120">
        <v>1.6</v>
      </c>
      <c r="AU120" t="s">
        <v>3</v>
      </c>
      <c r="AV120">
        <v>0</v>
      </c>
      <c r="AW120">
        <v>2</v>
      </c>
      <c r="AX120">
        <v>37602472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Y120*Source!I197</f>
        <v>7.0400000000000009</v>
      </c>
      <c r="CY120">
        <f>AA120</f>
        <v>8526.86</v>
      </c>
      <c r="CZ120">
        <f>AE120</f>
        <v>8526.86</v>
      </c>
      <c r="DA120">
        <f>AI120</f>
        <v>1</v>
      </c>
      <c r="DB120">
        <v>0</v>
      </c>
    </row>
    <row r="121" spans="1:106" x14ac:dyDescent="0.2">
      <c r="A121">
        <f>ROW(Source!A261)</f>
        <v>261</v>
      </c>
      <c r="B121">
        <v>37598633</v>
      </c>
      <c r="C121">
        <v>37600252</v>
      </c>
      <c r="D121">
        <v>34176775</v>
      </c>
      <c r="E121">
        <v>15</v>
      </c>
      <c r="F121">
        <v>1</v>
      </c>
      <c r="G121">
        <v>15</v>
      </c>
      <c r="H121">
        <v>1</v>
      </c>
      <c r="I121" t="s">
        <v>213</v>
      </c>
      <c r="J121" t="s">
        <v>3</v>
      </c>
      <c r="K121" t="s">
        <v>214</v>
      </c>
      <c r="L121">
        <v>1191</v>
      </c>
      <c r="N121">
        <v>1013</v>
      </c>
      <c r="O121" t="s">
        <v>215</v>
      </c>
      <c r="P121" t="s">
        <v>215</v>
      </c>
      <c r="Q121">
        <v>1</v>
      </c>
      <c r="W121">
        <v>0</v>
      </c>
      <c r="X121">
        <v>476480486</v>
      </c>
      <c r="Y121">
        <v>1.05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1.05</v>
      </c>
      <c r="AU121" t="s">
        <v>3</v>
      </c>
      <c r="AV121">
        <v>1</v>
      </c>
      <c r="AW121">
        <v>2</v>
      </c>
      <c r="AX121">
        <v>37602473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Y121*Source!I261</f>
        <v>0.32394600000000001</v>
      </c>
      <c r="CY121">
        <f>AD121</f>
        <v>0</v>
      </c>
      <c r="CZ121">
        <f>AH121</f>
        <v>0</v>
      </c>
      <c r="DA121">
        <f>AL121</f>
        <v>1</v>
      </c>
      <c r="DB121">
        <v>0</v>
      </c>
    </row>
    <row r="122" spans="1:106" x14ac:dyDescent="0.2">
      <c r="A122">
        <f>ROW(Source!A261)</f>
        <v>261</v>
      </c>
      <c r="B122">
        <v>37598633</v>
      </c>
      <c r="C122">
        <v>37600252</v>
      </c>
      <c r="D122">
        <v>34188481</v>
      </c>
      <c r="E122">
        <v>1</v>
      </c>
      <c r="F122">
        <v>1</v>
      </c>
      <c r="G122">
        <v>15</v>
      </c>
      <c r="H122">
        <v>2</v>
      </c>
      <c r="I122" t="s">
        <v>274</v>
      </c>
      <c r="J122" t="s">
        <v>275</v>
      </c>
      <c r="K122" t="s">
        <v>276</v>
      </c>
      <c r="L122">
        <v>1368</v>
      </c>
      <c r="N122">
        <v>1011</v>
      </c>
      <c r="O122" t="s">
        <v>219</v>
      </c>
      <c r="P122" t="s">
        <v>219</v>
      </c>
      <c r="Q122">
        <v>1</v>
      </c>
      <c r="W122">
        <v>0</v>
      </c>
      <c r="X122">
        <v>219968779</v>
      </c>
      <c r="Y122">
        <v>0.82</v>
      </c>
      <c r="AA122">
        <v>0</v>
      </c>
      <c r="AB122">
        <v>770.83</v>
      </c>
      <c r="AC122">
        <v>421.3</v>
      </c>
      <c r="AD122">
        <v>0</v>
      </c>
      <c r="AE122">
        <v>0</v>
      </c>
      <c r="AF122">
        <v>770.83</v>
      </c>
      <c r="AG122">
        <v>421.3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0.82</v>
      </c>
      <c r="AU122" t="s">
        <v>3</v>
      </c>
      <c r="AV122">
        <v>0</v>
      </c>
      <c r="AW122">
        <v>2</v>
      </c>
      <c r="AX122">
        <v>37602474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Y122*Source!I261</f>
        <v>0.2529864</v>
      </c>
      <c r="CY122">
        <f>AB122</f>
        <v>770.83</v>
      </c>
      <c r="CZ122">
        <f>AF122</f>
        <v>770.83</v>
      </c>
      <c r="DA122">
        <f>AJ122</f>
        <v>1</v>
      </c>
      <c r="DB122">
        <v>0</v>
      </c>
    </row>
    <row r="123" spans="1:106" x14ac:dyDescent="0.2">
      <c r="A123">
        <f>ROW(Source!A261)</f>
        <v>261</v>
      </c>
      <c r="B123">
        <v>37598633</v>
      </c>
      <c r="C123">
        <v>37600252</v>
      </c>
      <c r="D123">
        <v>34188505</v>
      </c>
      <c r="E123">
        <v>1</v>
      </c>
      <c r="F123">
        <v>1</v>
      </c>
      <c r="G123">
        <v>15</v>
      </c>
      <c r="H123">
        <v>2</v>
      </c>
      <c r="I123" t="s">
        <v>277</v>
      </c>
      <c r="J123" t="s">
        <v>278</v>
      </c>
      <c r="K123" t="s">
        <v>279</v>
      </c>
      <c r="L123">
        <v>1368</v>
      </c>
      <c r="N123">
        <v>1011</v>
      </c>
      <c r="O123" t="s">
        <v>219</v>
      </c>
      <c r="P123" t="s">
        <v>219</v>
      </c>
      <c r="Q123">
        <v>1</v>
      </c>
      <c r="W123">
        <v>0</v>
      </c>
      <c r="X123">
        <v>-335375421</v>
      </c>
      <c r="Y123">
        <v>3.54</v>
      </c>
      <c r="AA123">
        <v>0</v>
      </c>
      <c r="AB123">
        <v>1217.8599999999999</v>
      </c>
      <c r="AC123">
        <v>470.88</v>
      </c>
      <c r="AD123">
        <v>0</v>
      </c>
      <c r="AE123">
        <v>0</v>
      </c>
      <c r="AF123">
        <v>1217.8599999999999</v>
      </c>
      <c r="AG123">
        <v>470.88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3.54</v>
      </c>
      <c r="AU123" t="s">
        <v>3</v>
      </c>
      <c r="AV123">
        <v>0</v>
      </c>
      <c r="AW123">
        <v>2</v>
      </c>
      <c r="AX123">
        <v>37602475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Y123*Source!I261</f>
        <v>1.0921608</v>
      </c>
      <c r="CY123">
        <f>AB123</f>
        <v>1217.8599999999999</v>
      </c>
      <c r="CZ123">
        <f>AF123</f>
        <v>1217.8599999999999</v>
      </c>
      <c r="DA123">
        <f>AJ123</f>
        <v>1</v>
      </c>
      <c r="DB123">
        <v>0</v>
      </c>
    </row>
    <row r="124" spans="1:106" x14ac:dyDescent="0.2">
      <c r="A124">
        <f>ROW(Source!A262)</f>
        <v>262</v>
      </c>
      <c r="B124">
        <v>37598633</v>
      </c>
      <c r="C124">
        <v>37600259</v>
      </c>
      <c r="D124">
        <v>34187830</v>
      </c>
      <c r="E124">
        <v>1</v>
      </c>
      <c r="F124">
        <v>1</v>
      </c>
      <c r="G124">
        <v>15</v>
      </c>
      <c r="H124">
        <v>2</v>
      </c>
      <c r="I124" t="s">
        <v>235</v>
      </c>
      <c r="J124" t="s">
        <v>236</v>
      </c>
      <c r="K124" t="s">
        <v>237</v>
      </c>
      <c r="L124">
        <v>1368</v>
      </c>
      <c r="N124">
        <v>1011</v>
      </c>
      <c r="O124" t="s">
        <v>219</v>
      </c>
      <c r="P124" t="s">
        <v>219</v>
      </c>
      <c r="Q124">
        <v>1</v>
      </c>
      <c r="W124">
        <v>0</v>
      </c>
      <c r="X124">
        <v>-1411098748</v>
      </c>
      <c r="Y124">
        <v>3.1E-2</v>
      </c>
      <c r="AA124">
        <v>0</v>
      </c>
      <c r="AB124">
        <v>939.75</v>
      </c>
      <c r="AC124">
        <v>473.4</v>
      </c>
      <c r="AD124">
        <v>0</v>
      </c>
      <c r="AE124">
        <v>0</v>
      </c>
      <c r="AF124">
        <v>939.75</v>
      </c>
      <c r="AG124">
        <v>473.4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3.1E-2</v>
      </c>
      <c r="AU124" t="s">
        <v>3</v>
      </c>
      <c r="AV124">
        <v>0</v>
      </c>
      <c r="AW124">
        <v>2</v>
      </c>
      <c r="AX124">
        <v>37602476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Y124*Source!I262</f>
        <v>0.95641200000000004</v>
      </c>
      <c r="CY124">
        <f>AB124</f>
        <v>939.75</v>
      </c>
      <c r="CZ124">
        <f>AF124</f>
        <v>939.75</v>
      </c>
      <c r="DA124">
        <f>AJ124</f>
        <v>1</v>
      </c>
      <c r="DB124">
        <v>0</v>
      </c>
    </row>
    <row r="125" spans="1:106" x14ac:dyDescent="0.2">
      <c r="A125">
        <f>ROW(Source!A263)</f>
        <v>263</v>
      </c>
      <c r="B125">
        <v>37598633</v>
      </c>
      <c r="C125">
        <v>37600262</v>
      </c>
      <c r="D125">
        <v>34187830</v>
      </c>
      <c r="E125">
        <v>1</v>
      </c>
      <c r="F125">
        <v>1</v>
      </c>
      <c r="G125">
        <v>15</v>
      </c>
      <c r="H125">
        <v>2</v>
      </c>
      <c r="I125" t="s">
        <v>235</v>
      </c>
      <c r="J125" t="s">
        <v>236</v>
      </c>
      <c r="K125" t="s">
        <v>237</v>
      </c>
      <c r="L125">
        <v>1368</v>
      </c>
      <c r="N125">
        <v>1011</v>
      </c>
      <c r="O125" t="s">
        <v>219</v>
      </c>
      <c r="P125" t="s">
        <v>219</v>
      </c>
      <c r="Q125">
        <v>1</v>
      </c>
      <c r="W125">
        <v>0</v>
      </c>
      <c r="X125">
        <v>-1411098748</v>
      </c>
      <c r="Y125">
        <v>0.26</v>
      </c>
      <c r="AA125">
        <v>0</v>
      </c>
      <c r="AB125">
        <v>939.75</v>
      </c>
      <c r="AC125">
        <v>473.4</v>
      </c>
      <c r="AD125">
        <v>0</v>
      </c>
      <c r="AE125">
        <v>0</v>
      </c>
      <c r="AF125">
        <v>939.75</v>
      </c>
      <c r="AG125">
        <v>473.4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1</v>
      </c>
      <c r="AQ125">
        <v>0</v>
      </c>
      <c r="AR125">
        <v>0</v>
      </c>
      <c r="AS125" t="s">
        <v>3</v>
      </c>
      <c r="AT125">
        <v>0.01</v>
      </c>
      <c r="AU125" t="s">
        <v>121</v>
      </c>
      <c r="AV125">
        <v>0</v>
      </c>
      <c r="AW125">
        <v>2</v>
      </c>
      <c r="AX125">
        <v>37602477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Y125*Source!I263</f>
        <v>8.0215200000000006</v>
      </c>
      <c r="CY125">
        <f>AB125</f>
        <v>939.75</v>
      </c>
      <c r="CZ125">
        <f>AF125</f>
        <v>939.75</v>
      </c>
      <c r="DA125">
        <f>AJ125</f>
        <v>1</v>
      </c>
      <c r="DB125">
        <v>0</v>
      </c>
    </row>
    <row r="126" spans="1:106" x14ac:dyDescent="0.2">
      <c r="A126">
        <f>ROW(Source!A264)</f>
        <v>264</v>
      </c>
      <c r="B126">
        <v>37598633</v>
      </c>
      <c r="C126">
        <v>37600265</v>
      </c>
      <c r="D126">
        <v>34176775</v>
      </c>
      <c r="E126">
        <v>15</v>
      </c>
      <c r="F126">
        <v>1</v>
      </c>
      <c r="G126">
        <v>15</v>
      </c>
      <c r="H126">
        <v>1</v>
      </c>
      <c r="I126" t="s">
        <v>213</v>
      </c>
      <c r="J126" t="s">
        <v>3</v>
      </c>
      <c r="K126" t="s">
        <v>214</v>
      </c>
      <c r="L126">
        <v>1191</v>
      </c>
      <c r="N126">
        <v>1013</v>
      </c>
      <c r="O126" t="s">
        <v>215</v>
      </c>
      <c r="P126" t="s">
        <v>215</v>
      </c>
      <c r="Q126">
        <v>1</v>
      </c>
      <c r="W126">
        <v>0</v>
      </c>
      <c r="X126">
        <v>476480486</v>
      </c>
      <c r="Y126">
        <v>16.559999999999999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16.559999999999999</v>
      </c>
      <c r="AU126" t="s">
        <v>3</v>
      </c>
      <c r="AV126">
        <v>1</v>
      </c>
      <c r="AW126">
        <v>2</v>
      </c>
      <c r="AX126">
        <v>37602478</v>
      </c>
      <c r="AY126">
        <v>1</v>
      </c>
      <c r="AZ126">
        <v>0</v>
      </c>
      <c r="BA126">
        <v>126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Y126*Source!I264</f>
        <v>1.4191919999999998</v>
      </c>
      <c r="CY126">
        <f>AD126</f>
        <v>0</v>
      </c>
      <c r="CZ126">
        <f>AH126</f>
        <v>0</v>
      </c>
      <c r="DA126">
        <f>AL126</f>
        <v>1</v>
      </c>
      <c r="DB126">
        <v>0</v>
      </c>
    </row>
    <row r="127" spans="1:106" x14ac:dyDescent="0.2">
      <c r="A127">
        <f>ROW(Source!A264)</f>
        <v>264</v>
      </c>
      <c r="B127">
        <v>37598633</v>
      </c>
      <c r="C127">
        <v>37600265</v>
      </c>
      <c r="D127">
        <v>34188463</v>
      </c>
      <c r="E127">
        <v>1</v>
      </c>
      <c r="F127">
        <v>1</v>
      </c>
      <c r="G127">
        <v>15</v>
      </c>
      <c r="H127">
        <v>2</v>
      </c>
      <c r="I127" t="s">
        <v>226</v>
      </c>
      <c r="J127" t="s">
        <v>227</v>
      </c>
      <c r="K127" t="s">
        <v>228</v>
      </c>
      <c r="L127">
        <v>1368</v>
      </c>
      <c r="N127">
        <v>1011</v>
      </c>
      <c r="O127" t="s">
        <v>219</v>
      </c>
      <c r="P127" t="s">
        <v>219</v>
      </c>
      <c r="Q127">
        <v>1</v>
      </c>
      <c r="W127">
        <v>0</v>
      </c>
      <c r="X127">
        <v>1482077759</v>
      </c>
      <c r="Y127">
        <v>2.08</v>
      </c>
      <c r="AA127">
        <v>0</v>
      </c>
      <c r="AB127">
        <v>936.41</v>
      </c>
      <c r="AC127">
        <v>403.45</v>
      </c>
      <c r="AD127">
        <v>0</v>
      </c>
      <c r="AE127">
        <v>0</v>
      </c>
      <c r="AF127">
        <v>936.41</v>
      </c>
      <c r="AG127">
        <v>403.45</v>
      </c>
      <c r="AH127">
        <v>0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2.08</v>
      </c>
      <c r="AU127" t="s">
        <v>3</v>
      </c>
      <c r="AV127">
        <v>0</v>
      </c>
      <c r="AW127">
        <v>2</v>
      </c>
      <c r="AX127">
        <v>37602479</v>
      </c>
      <c r="AY127">
        <v>1</v>
      </c>
      <c r="AZ127">
        <v>0</v>
      </c>
      <c r="BA127">
        <v>127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Y127*Source!I264</f>
        <v>0.178256</v>
      </c>
      <c r="CY127">
        <f>AB127</f>
        <v>936.41</v>
      </c>
      <c r="CZ127">
        <f>AF127</f>
        <v>936.41</v>
      </c>
      <c r="DA127">
        <f>AJ127</f>
        <v>1</v>
      </c>
      <c r="DB127">
        <v>0</v>
      </c>
    </row>
    <row r="128" spans="1:106" x14ac:dyDescent="0.2">
      <c r="A128">
        <f>ROW(Source!A264)</f>
        <v>264</v>
      </c>
      <c r="B128">
        <v>37598633</v>
      </c>
      <c r="C128">
        <v>37600265</v>
      </c>
      <c r="D128">
        <v>34188306</v>
      </c>
      <c r="E128">
        <v>1</v>
      </c>
      <c r="F128">
        <v>1</v>
      </c>
      <c r="G128">
        <v>15</v>
      </c>
      <c r="H128">
        <v>2</v>
      </c>
      <c r="I128" t="s">
        <v>238</v>
      </c>
      <c r="J128" t="s">
        <v>239</v>
      </c>
      <c r="K128" t="s">
        <v>240</v>
      </c>
      <c r="L128">
        <v>1368</v>
      </c>
      <c r="N128">
        <v>1011</v>
      </c>
      <c r="O128" t="s">
        <v>219</v>
      </c>
      <c r="P128" t="s">
        <v>219</v>
      </c>
      <c r="Q128">
        <v>1</v>
      </c>
      <c r="W128">
        <v>0</v>
      </c>
      <c r="X128">
        <v>1619837319</v>
      </c>
      <c r="Y128">
        <v>2.08</v>
      </c>
      <c r="AA128">
        <v>0</v>
      </c>
      <c r="AB128">
        <v>354.92</v>
      </c>
      <c r="AC128">
        <v>157.22999999999999</v>
      </c>
      <c r="AD128">
        <v>0</v>
      </c>
      <c r="AE128">
        <v>0</v>
      </c>
      <c r="AF128">
        <v>354.92</v>
      </c>
      <c r="AG128">
        <v>157.22999999999999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2.08</v>
      </c>
      <c r="AU128" t="s">
        <v>3</v>
      </c>
      <c r="AV128">
        <v>0</v>
      </c>
      <c r="AW128">
        <v>2</v>
      </c>
      <c r="AX128">
        <v>37602480</v>
      </c>
      <c r="AY128">
        <v>1</v>
      </c>
      <c r="AZ128">
        <v>0</v>
      </c>
      <c r="BA128">
        <v>128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Y128*Source!I264</f>
        <v>0.178256</v>
      </c>
      <c r="CY128">
        <f>AB128</f>
        <v>354.92</v>
      </c>
      <c r="CZ128">
        <f>AF128</f>
        <v>354.92</v>
      </c>
      <c r="DA128">
        <f>AJ128</f>
        <v>1</v>
      </c>
      <c r="DB128">
        <v>0</v>
      </c>
    </row>
    <row r="129" spans="1:106" x14ac:dyDescent="0.2">
      <c r="A129">
        <f>ROW(Source!A264)</f>
        <v>264</v>
      </c>
      <c r="B129">
        <v>37598633</v>
      </c>
      <c r="C129">
        <v>37600265</v>
      </c>
      <c r="D129">
        <v>34188303</v>
      </c>
      <c r="E129">
        <v>1</v>
      </c>
      <c r="F129">
        <v>1</v>
      </c>
      <c r="G129">
        <v>15</v>
      </c>
      <c r="H129">
        <v>2</v>
      </c>
      <c r="I129" t="s">
        <v>241</v>
      </c>
      <c r="J129" t="s">
        <v>242</v>
      </c>
      <c r="K129" t="s">
        <v>243</v>
      </c>
      <c r="L129">
        <v>1368</v>
      </c>
      <c r="N129">
        <v>1011</v>
      </c>
      <c r="O129" t="s">
        <v>219</v>
      </c>
      <c r="P129" t="s">
        <v>219</v>
      </c>
      <c r="Q129">
        <v>1</v>
      </c>
      <c r="W129">
        <v>0</v>
      </c>
      <c r="X129">
        <v>-422229590</v>
      </c>
      <c r="Y129">
        <v>0.81</v>
      </c>
      <c r="AA129">
        <v>0</v>
      </c>
      <c r="AB129">
        <v>1527.34</v>
      </c>
      <c r="AC129">
        <v>334.88</v>
      </c>
      <c r="AD129">
        <v>0</v>
      </c>
      <c r="AE129">
        <v>0</v>
      </c>
      <c r="AF129">
        <v>1527.34</v>
      </c>
      <c r="AG129">
        <v>334.88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0.81</v>
      </c>
      <c r="AU129" t="s">
        <v>3</v>
      </c>
      <c r="AV129">
        <v>0</v>
      </c>
      <c r="AW129">
        <v>2</v>
      </c>
      <c r="AX129">
        <v>37602481</v>
      </c>
      <c r="AY129">
        <v>1</v>
      </c>
      <c r="AZ129">
        <v>0</v>
      </c>
      <c r="BA129">
        <v>129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Y129*Source!I264</f>
        <v>6.9417000000000006E-2</v>
      </c>
      <c r="CY129">
        <f>AB129</f>
        <v>1527.34</v>
      </c>
      <c r="CZ129">
        <f>AF129</f>
        <v>1527.34</v>
      </c>
      <c r="DA129">
        <f>AJ129</f>
        <v>1</v>
      </c>
      <c r="DB129">
        <v>0</v>
      </c>
    </row>
    <row r="130" spans="1:106" x14ac:dyDescent="0.2">
      <c r="A130">
        <f>ROW(Source!A264)</f>
        <v>264</v>
      </c>
      <c r="B130">
        <v>37598633</v>
      </c>
      <c r="C130">
        <v>37600265</v>
      </c>
      <c r="D130">
        <v>34188265</v>
      </c>
      <c r="E130">
        <v>1</v>
      </c>
      <c r="F130">
        <v>1</v>
      </c>
      <c r="G130">
        <v>15</v>
      </c>
      <c r="H130">
        <v>2</v>
      </c>
      <c r="I130" t="s">
        <v>223</v>
      </c>
      <c r="J130" t="s">
        <v>224</v>
      </c>
      <c r="K130" t="s">
        <v>225</v>
      </c>
      <c r="L130">
        <v>1368</v>
      </c>
      <c r="N130">
        <v>1011</v>
      </c>
      <c r="O130" t="s">
        <v>219</v>
      </c>
      <c r="P130" t="s">
        <v>219</v>
      </c>
      <c r="Q130">
        <v>1</v>
      </c>
      <c r="W130">
        <v>0</v>
      </c>
      <c r="X130">
        <v>-1706694778</v>
      </c>
      <c r="Y130">
        <v>1.94</v>
      </c>
      <c r="AA130">
        <v>0</v>
      </c>
      <c r="AB130">
        <v>1142.6300000000001</v>
      </c>
      <c r="AC130">
        <v>468.35</v>
      </c>
      <c r="AD130">
        <v>0</v>
      </c>
      <c r="AE130">
        <v>0</v>
      </c>
      <c r="AF130">
        <v>1142.6300000000001</v>
      </c>
      <c r="AG130">
        <v>468.35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1.94</v>
      </c>
      <c r="AU130" t="s">
        <v>3</v>
      </c>
      <c r="AV130">
        <v>0</v>
      </c>
      <c r="AW130">
        <v>2</v>
      </c>
      <c r="AX130">
        <v>37602482</v>
      </c>
      <c r="AY130">
        <v>1</v>
      </c>
      <c r="AZ130">
        <v>0</v>
      </c>
      <c r="BA130">
        <v>130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Y130*Source!I264</f>
        <v>0.16625799999999999</v>
      </c>
      <c r="CY130">
        <f>AB130</f>
        <v>1142.6300000000001</v>
      </c>
      <c r="CZ130">
        <f>AF130</f>
        <v>1142.6300000000001</v>
      </c>
      <c r="DA130">
        <f>AJ130</f>
        <v>1</v>
      </c>
      <c r="DB130">
        <v>0</v>
      </c>
    </row>
    <row r="131" spans="1:106" x14ac:dyDescent="0.2">
      <c r="A131">
        <f>ROW(Source!A264)</f>
        <v>264</v>
      </c>
      <c r="B131">
        <v>37598633</v>
      </c>
      <c r="C131">
        <v>37600265</v>
      </c>
      <c r="D131">
        <v>34188313</v>
      </c>
      <c r="E131">
        <v>1</v>
      </c>
      <c r="F131">
        <v>1</v>
      </c>
      <c r="G131">
        <v>15</v>
      </c>
      <c r="H131">
        <v>2</v>
      </c>
      <c r="I131" t="s">
        <v>244</v>
      </c>
      <c r="J131" t="s">
        <v>245</v>
      </c>
      <c r="K131" t="s">
        <v>246</v>
      </c>
      <c r="L131">
        <v>1368</v>
      </c>
      <c r="N131">
        <v>1011</v>
      </c>
      <c r="O131" t="s">
        <v>219</v>
      </c>
      <c r="P131" t="s">
        <v>219</v>
      </c>
      <c r="Q131">
        <v>1</v>
      </c>
      <c r="W131">
        <v>0</v>
      </c>
      <c r="X131">
        <v>-882610335</v>
      </c>
      <c r="Y131">
        <v>0.65</v>
      </c>
      <c r="AA131">
        <v>0</v>
      </c>
      <c r="AB131">
        <v>1590.37</v>
      </c>
      <c r="AC131">
        <v>497.81</v>
      </c>
      <c r="AD131">
        <v>0</v>
      </c>
      <c r="AE131">
        <v>0</v>
      </c>
      <c r="AF131">
        <v>1590.37</v>
      </c>
      <c r="AG131">
        <v>497.81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0.65</v>
      </c>
      <c r="AU131" t="s">
        <v>3</v>
      </c>
      <c r="AV131">
        <v>0</v>
      </c>
      <c r="AW131">
        <v>2</v>
      </c>
      <c r="AX131">
        <v>37602483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Y131*Source!I264</f>
        <v>5.5704999999999998E-2</v>
      </c>
      <c r="CY131">
        <f>AB131</f>
        <v>1590.37</v>
      </c>
      <c r="CZ131">
        <f>AF131</f>
        <v>1590.37</v>
      </c>
      <c r="DA131">
        <f>AJ131</f>
        <v>1</v>
      </c>
      <c r="DB131">
        <v>0</v>
      </c>
    </row>
    <row r="132" spans="1:106" x14ac:dyDescent="0.2">
      <c r="A132">
        <f>ROW(Source!A264)</f>
        <v>264</v>
      </c>
      <c r="B132">
        <v>37598633</v>
      </c>
      <c r="C132">
        <v>37600265</v>
      </c>
      <c r="D132">
        <v>34189650</v>
      </c>
      <c r="E132">
        <v>1</v>
      </c>
      <c r="F132">
        <v>1</v>
      </c>
      <c r="G132">
        <v>15</v>
      </c>
      <c r="H132">
        <v>3</v>
      </c>
      <c r="I132" t="s">
        <v>247</v>
      </c>
      <c r="J132" t="s">
        <v>248</v>
      </c>
      <c r="K132" t="s">
        <v>249</v>
      </c>
      <c r="L132">
        <v>1339</v>
      </c>
      <c r="N132">
        <v>1007</v>
      </c>
      <c r="O132" t="s">
        <v>115</v>
      </c>
      <c r="P132" t="s">
        <v>115</v>
      </c>
      <c r="Q132">
        <v>1</v>
      </c>
      <c r="W132">
        <v>0</v>
      </c>
      <c r="X132">
        <v>-1431983879</v>
      </c>
      <c r="Y132">
        <v>110</v>
      </c>
      <c r="AA132">
        <v>559.23</v>
      </c>
      <c r="AB132">
        <v>0</v>
      </c>
      <c r="AC132">
        <v>0</v>
      </c>
      <c r="AD132">
        <v>0</v>
      </c>
      <c r="AE132">
        <v>559.23</v>
      </c>
      <c r="AF132">
        <v>0</v>
      </c>
      <c r="AG132">
        <v>0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1</v>
      </c>
      <c r="AQ132">
        <v>0</v>
      </c>
      <c r="AR132">
        <v>0</v>
      </c>
      <c r="AS132" t="s">
        <v>3</v>
      </c>
      <c r="AT132">
        <v>110</v>
      </c>
      <c r="AU132" t="s">
        <v>3</v>
      </c>
      <c r="AV132">
        <v>0</v>
      </c>
      <c r="AW132">
        <v>2</v>
      </c>
      <c r="AX132">
        <v>37602484</v>
      </c>
      <c r="AY132">
        <v>1</v>
      </c>
      <c r="AZ132">
        <v>0</v>
      </c>
      <c r="BA132">
        <v>132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Y132*Source!I264</f>
        <v>9.4269999999999996</v>
      </c>
      <c r="CY132">
        <f>AA132</f>
        <v>559.23</v>
      </c>
      <c r="CZ132">
        <f>AE132</f>
        <v>559.23</v>
      </c>
      <c r="DA132">
        <f>AI132</f>
        <v>1</v>
      </c>
      <c r="DB132">
        <v>0</v>
      </c>
    </row>
    <row r="133" spans="1:106" x14ac:dyDescent="0.2">
      <c r="A133">
        <f>ROW(Source!A264)</f>
        <v>264</v>
      </c>
      <c r="B133">
        <v>37598633</v>
      </c>
      <c r="C133">
        <v>37600265</v>
      </c>
      <c r="D133">
        <v>34190363</v>
      </c>
      <c r="E133">
        <v>1</v>
      </c>
      <c r="F133">
        <v>1</v>
      </c>
      <c r="G133">
        <v>15</v>
      </c>
      <c r="H133">
        <v>3</v>
      </c>
      <c r="I133" t="s">
        <v>250</v>
      </c>
      <c r="J133" t="s">
        <v>251</v>
      </c>
      <c r="K133" t="s">
        <v>252</v>
      </c>
      <c r="L133">
        <v>1339</v>
      </c>
      <c r="N133">
        <v>1007</v>
      </c>
      <c r="O133" t="s">
        <v>115</v>
      </c>
      <c r="P133" t="s">
        <v>115</v>
      </c>
      <c r="Q133">
        <v>1</v>
      </c>
      <c r="W133">
        <v>0</v>
      </c>
      <c r="X133">
        <v>-156220903</v>
      </c>
      <c r="Y133">
        <v>5</v>
      </c>
      <c r="AA133">
        <v>28.77</v>
      </c>
      <c r="AB133">
        <v>0</v>
      </c>
      <c r="AC133">
        <v>0</v>
      </c>
      <c r="AD133">
        <v>0</v>
      </c>
      <c r="AE133">
        <v>28.77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1</v>
      </c>
      <c r="AQ133">
        <v>0</v>
      </c>
      <c r="AR133">
        <v>0</v>
      </c>
      <c r="AS133" t="s">
        <v>3</v>
      </c>
      <c r="AT133">
        <v>5</v>
      </c>
      <c r="AU133" t="s">
        <v>3</v>
      </c>
      <c r="AV133">
        <v>0</v>
      </c>
      <c r="AW133">
        <v>2</v>
      </c>
      <c r="AX133">
        <v>37602485</v>
      </c>
      <c r="AY133">
        <v>1</v>
      </c>
      <c r="AZ133">
        <v>0</v>
      </c>
      <c r="BA133">
        <v>133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Y133*Source!I264</f>
        <v>0.42849999999999999</v>
      </c>
      <c r="CY133">
        <f>AA133</f>
        <v>28.77</v>
      </c>
      <c r="CZ133">
        <f>AE133</f>
        <v>28.77</v>
      </c>
      <c r="DA133">
        <f>AI133</f>
        <v>1</v>
      </c>
      <c r="DB133">
        <v>0</v>
      </c>
    </row>
    <row r="134" spans="1:106" x14ac:dyDescent="0.2">
      <c r="A134">
        <f>ROW(Source!A265)</f>
        <v>265</v>
      </c>
      <c r="B134">
        <v>37598633</v>
      </c>
      <c r="C134">
        <v>37600282</v>
      </c>
      <c r="D134">
        <v>34176775</v>
      </c>
      <c r="E134">
        <v>15</v>
      </c>
      <c r="F134">
        <v>1</v>
      </c>
      <c r="G134">
        <v>15</v>
      </c>
      <c r="H134">
        <v>1</v>
      </c>
      <c r="I134" t="s">
        <v>213</v>
      </c>
      <c r="J134" t="s">
        <v>3</v>
      </c>
      <c r="K134" t="s">
        <v>214</v>
      </c>
      <c r="L134">
        <v>1191</v>
      </c>
      <c r="N134">
        <v>1013</v>
      </c>
      <c r="O134" t="s">
        <v>215</v>
      </c>
      <c r="P134" t="s">
        <v>215</v>
      </c>
      <c r="Q134">
        <v>1</v>
      </c>
      <c r="W134">
        <v>0</v>
      </c>
      <c r="X134">
        <v>476480486</v>
      </c>
      <c r="Y134">
        <v>24.84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</v>
      </c>
      <c r="AT134">
        <v>24.84</v>
      </c>
      <c r="AU134" t="s">
        <v>3</v>
      </c>
      <c r="AV134">
        <v>1</v>
      </c>
      <c r="AW134">
        <v>2</v>
      </c>
      <c r="AX134">
        <v>37602486</v>
      </c>
      <c r="AY134">
        <v>1</v>
      </c>
      <c r="AZ134">
        <v>0</v>
      </c>
      <c r="BA134">
        <v>134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Y134*Source!I265</f>
        <v>2.1287880000000001</v>
      </c>
      <c r="CY134">
        <f>AD134</f>
        <v>0</v>
      </c>
      <c r="CZ134">
        <f>AH134</f>
        <v>0</v>
      </c>
      <c r="DA134">
        <f>AL134</f>
        <v>1</v>
      </c>
      <c r="DB134">
        <v>0</v>
      </c>
    </row>
    <row r="135" spans="1:106" x14ac:dyDescent="0.2">
      <c r="A135">
        <f>ROW(Source!A265)</f>
        <v>265</v>
      </c>
      <c r="B135">
        <v>37598633</v>
      </c>
      <c r="C135">
        <v>37600282</v>
      </c>
      <c r="D135">
        <v>34188482</v>
      </c>
      <c r="E135">
        <v>1</v>
      </c>
      <c r="F135">
        <v>1</v>
      </c>
      <c r="G135">
        <v>15</v>
      </c>
      <c r="H135">
        <v>2</v>
      </c>
      <c r="I135" t="s">
        <v>253</v>
      </c>
      <c r="J135" t="s">
        <v>254</v>
      </c>
      <c r="K135" t="s">
        <v>255</v>
      </c>
      <c r="L135">
        <v>1368</v>
      </c>
      <c r="N135">
        <v>1011</v>
      </c>
      <c r="O135" t="s">
        <v>219</v>
      </c>
      <c r="P135" t="s">
        <v>219</v>
      </c>
      <c r="Q135">
        <v>1</v>
      </c>
      <c r="W135">
        <v>0</v>
      </c>
      <c r="X135">
        <v>-1514203159</v>
      </c>
      <c r="Y135">
        <v>2.94</v>
      </c>
      <c r="AA135">
        <v>0</v>
      </c>
      <c r="AB135">
        <v>711.82</v>
      </c>
      <c r="AC135">
        <v>363.48</v>
      </c>
      <c r="AD135">
        <v>0</v>
      </c>
      <c r="AE135">
        <v>0</v>
      </c>
      <c r="AF135">
        <v>711.82</v>
      </c>
      <c r="AG135">
        <v>363.48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2.94</v>
      </c>
      <c r="AU135" t="s">
        <v>3</v>
      </c>
      <c r="AV135">
        <v>0</v>
      </c>
      <c r="AW135">
        <v>2</v>
      </c>
      <c r="AX135">
        <v>37602487</v>
      </c>
      <c r="AY135">
        <v>1</v>
      </c>
      <c r="AZ135">
        <v>0</v>
      </c>
      <c r="BA135">
        <v>135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Y135*Source!I265</f>
        <v>0.25195800000000002</v>
      </c>
      <c r="CY135">
        <f t="shared" ref="CY135:CY140" si="15">AB135</f>
        <v>711.82</v>
      </c>
      <c r="CZ135">
        <f t="shared" ref="CZ135:CZ140" si="16">AF135</f>
        <v>711.82</v>
      </c>
      <c r="DA135">
        <f t="shared" ref="DA135:DA140" si="17">AJ135</f>
        <v>1</v>
      </c>
      <c r="DB135">
        <v>0</v>
      </c>
    </row>
    <row r="136" spans="1:106" x14ac:dyDescent="0.2">
      <c r="A136">
        <f>ROW(Source!A265)</f>
        <v>265</v>
      </c>
      <c r="B136">
        <v>37598633</v>
      </c>
      <c r="C136">
        <v>37600282</v>
      </c>
      <c r="D136">
        <v>34188303</v>
      </c>
      <c r="E136">
        <v>1</v>
      </c>
      <c r="F136">
        <v>1</v>
      </c>
      <c r="G136">
        <v>15</v>
      </c>
      <c r="H136">
        <v>2</v>
      </c>
      <c r="I136" t="s">
        <v>241</v>
      </c>
      <c r="J136" t="s">
        <v>242</v>
      </c>
      <c r="K136" t="s">
        <v>243</v>
      </c>
      <c r="L136">
        <v>1368</v>
      </c>
      <c r="N136">
        <v>1011</v>
      </c>
      <c r="O136" t="s">
        <v>219</v>
      </c>
      <c r="P136" t="s">
        <v>219</v>
      </c>
      <c r="Q136">
        <v>1</v>
      </c>
      <c r="W136">
        <v>0</v>
      </c>
      <c r="X136">
        <v>-422229590</v>
      </c>
      <c r="Y136">
        <v>1.1399999999999999</v>
      </c>
      <c r="AA136">
        <v>0</v>
      </c>
      <c r="AB136">
        <v>1527.34</v>
      </c>
      <c r="AC136">
        <v>334.88</v>
      </c>
      <c r="AD136">
        <v>0</v>
      </c>
      <c r="AE136">
        <v>0</v>
      </c>
      <c r="AF136">
        <v>1527.34</v>
      </c>
      <c r="AG136">
        <v>334.88</v>
      </c>
      <c r="AH136">
        <v>0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1.1399999999999999</v>
      </c>
      <c r="AU136" t="s">
        <v>3</v>
      </c>
      <c r="AV136">
        <v>0</v>
      </c>
      <c r="AW136">
        <v>2</v>
      </c>
      <c r="AX136">
        <v>37602488</v>
      </c>
      <c r="AY136">
        <v>1</v>
      </c>
      <c r="AZ136">
        <v>0</v>
      </c>
      <c r="BA136">
        <v>136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Y136*Source!I265</f>
        <v>9.7697999999999993E-2</v>
      </c>
      <c r="CY136">
        <f t="shared" si="15"/>
        <v>1527.34</v>
      </c>
      <c r="CZ136">
        <f t="shared" si="16"/>
        <v>1527.34</v>
      </c>
      <c r="DA136">
        <f t="shared" si="17"/>
        <v>1</v>
      </c>
      <c r="DB136">
        <v>0</v>
      </c>
    </row>
    <row r="137" spans="1:106" x14ac:dyDescent="0.2">
      <c r="A137">
        <f>ROW(Source!A265)</f>
        <v>265</v>
      </c>
      <c r="B137">
        <v>37598633</v>
      </c>
      <c r="C137">
        <v>37600282</v>
      </c>
      <c r="D137">
        <v>34188322</v>
      </c>
      <c r="E137">
        <v>1</v>
      </c>
      <c r="F137">
        <v>1</v>
      </c>
      <c r="G137">
        <v>15</v>
      </c>
      <c r="H137">
        <v>2</v>
      </c>
      <c r="I137" t="s">
        <v>256</v>
      </c>
      <c r="J137" t="s">
        <v>257</v>
      </c>
      <c r="K137" t="s">
        <v>258</v>
      </c>
      <c r="L137">
        <v>1368</v>
      </c>
      <c r="N137">
        <v>1011</v>
      </c>
      <c r="O137" t="s">
        <v>219</v>
      </c>
      <c r="P137" t="s">
        <v>219</v>
      </c>
      <c r="Q137">
        <v>1</v>
      </c>
      <c r="W137">
        <v>0</v>
      </c>
      <c r="X137">
        <v>773118248</v>
      </c>
      <c r="Y137">
        <v>8.9600000000000009</v>
      </c>
      <c r="AA137">
        <v>0</v>
      </c>
      <c r="AB137">
        <v>984.76</v>
      </c>
      <c r="AC137">
        <v>387.07</v>
      </c>
      <c r="AD137">
        <v>0</v>
      </c>
      <c r="AE137">
        <v>0</v>
      </c>
      <c r="AF137">
        <v>984.76</v>
      </c>
      <c r="AG137">
        <v>387.07</v>
      </c>
      <c r="AH137">
        <v>0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8.9600000000000009</v>
      </c>
      <c r="AU137" t="s">
        <v>3</v>
      </c>
      <c r="AV137">
        <v>0</v>
      </c>
      <c r="AW137">
        <v>2</v>
      </c>
      <c r="AX137">
        <v>37602489</v>
      </c>
      <c r="AY137">
        <v>1</v>
      </c>
      <c r="AZ137">
        <v>0</v>
      </c>
      <c r="BA137">
        <v>137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Y137*Source!I265</f>
        <v>0.76787200000000011</v>
      </c>
      <c r="CY137">
        <f t="shared" si="15"/>
        <v>984.76</v>
      </c>
      <c r="CZ137">
        <f t="shared" si="16"/>
        <v>984.76</v>
      </c>
      <c r="DA137">
        <f t="shared" si="17"/>
        <v>1</v>
      </c>
      <c r="DB137">
        <v>0</v>
      </c>
    </row>
    <row r="138" spans="1:106" x14ac:dyDescent="0.2">
      <c r="A138">
        <f>ROW(Source!A265)</f>
        <v>265</v>
      </c>
      <c r="B138">
        <v>37598633</v>
      </c>
      <c r="C138">
        <v>37600282</v>
      </c>
      <c r="D138">
        <v>34188321</v>
      </c>
      <c r="E138">
        <v>1</v>
      </c>
      <c r="F138">
        <v>1</v>
      </c>
      <c r="G138">
        <v>15</v>
      </c>
      <c r="H138">
        <v>2</v>
      </c>
      <c r="I138" t="s">
        <v>259</v>
      </c>
      <c r="J138" t="s">
        <v>260</v>
      </c>
      <c r="K138" t="s">
        <v>261</v>
      </c>
      <c r="L138">
        <v>1368</v>
      </c>
      <c r="N138">
        <v>1011</v>
      </c>
      <c r="O138" t="s">
        <v>219</v>
      </c>
      <c r="P138" t="s">
        <v>219</v>
      </c>
      <c r="Q138">
        <v>1</v>
      </c>
      <c r="W138">
        <v>0</v>
      </c>
      <c r="X138">
        <v>867169437</v>
      </c>
      <c r="Y138">
        <v>18.25</v>
      </c>
      <c r="AA138">
        <v>0</v>
      </c>
      <c r="AB138">
        <v>1482.31</v>
      </c>
      <c r="AC138">
        <v>526.20000000000005</v>
      </c>
      <c r="AD138">
        <v>0</v>
      </c>
      <c r="AE138">
        <v>0</v>
      </c>
      <c r="AF138">
        <v>1482.31</v>
      </c>
      <c r="AG138">
        <v>526.20000000000005</v>
      </c>
      <c r="AH138">
        <v>0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3</v>
      </c>
      <c r="AT138">
        <v>18.25</v>
      </c>
      <c r="AU138" t="s">
        <v>3</v>
      </c>
      <c r="AV138">
        <v>0</v>
      </c>
      <c r="AW138">
        <v>2</v>
      </c>
      <c r="AX138">
        <v>37602490</v>
      </c>
      <c r="AY138">
        <v>1</v>
      </c>
      <c r="AZ138">
        <v>0</v>
      </c>
      <c r="BA138">
        <v>138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Y138*Source!I265</f>
        <v>1.564025</v>
      </c>
      <c r="CY138">
        <f t="shared" si="15"/>
        <v>1482.31</v>
      </c>
      <c r="CZ138">
        <f t="shared" si="16"/>
        <v>1482.31</v>
      </c>
      <c r="DA138">
        <f t="shared" si="17"/>
        <v>1</v>
      </c>
      <c r="DB138">
        <v>0</v>
      </c>
    </row>
    <row r="139" spans="1:106" x14ac:dyDescent="0.2">
      <c r="A139">
        <f>ROW(Source!A265)</f>
        <v>265</v>
      </c>
      <c r="B139">
        <v>37598633</v>
      </c>
      <c r="C139">
        <v>37600282</v>
      </c>
      <c r="D139">
        <v>34188265</v>
      </c>
      <c r="E139">
        <v>1</v>
      </c>
      <c r="F139">
        <v>1</v>
      </c>
      <c r="G139">
        <v>15</v>
      </c>
      <c r="H139">
        <v>2</v>
      </c>
      <c r="I139" t="s">
        <v>223</v>
      </c>
      <c r="J139" t="s">
        <v>224</v>
      </c>
      <c r="K139" t="s">
        <v>225</v>
      </c>
      <c r="L139">
        <v>1368</v>
      </c>
      <c r="N139">
        <v>1011</v>
      </c>
      <c r="O139" t="s">
        <v>219</v>
      </c>
      <c r="P139" t="s">
        <v>219</v>
      </c>
      <c r="Q139">
        <v>1</v>
      </c>
      <c r="W139">
        <v>0</v>
      </c>
      <c r="X139">
        <v>-1706694778</v>
      </c>
      <c r="Y139">
        <v>2.2400000000000002</v>
      </c>
      <c r="AA139">
        <v>0</v>
      </c>
      <c r="AB139">
        <v>1142.6300000000001</v>
      </c>
      <c r="AC139">
        <v>468.35</v>
      </c>
      <c r="AD139">
        <v>0</v>
      </c>
      <c r="AE139">
        <v>0</v>
      </c>
      <c r="AF139">
        <v>1142.6300000000001</v>
      </c>
      <c r="AG139">
        <v>468.35</v>
      </c>
      <c r="AH139">
        <v>0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2.2400000000000002</v>
      </c>
      <c r="AU139" t="s">
        <v>3</v>
      </c>
      <c r="AV139">
        <v>0</v>
      </c>
      <c r="AW139">
        <v>2</v>
      </c>
      <c r="AX139">
        <v>37602491</v>
      </c>
      <c r="AY139">
        <v>1</v>
      </c>
      <c r="AZ139">
        <v>0</v>
      </c>
      <c r="BA139">
        <v>139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Y139*Source!I265</f>
        <v>0.19196800000000003</v>
      </c>
      <c r="CY139">
        <f t="shared" si="15"/>
        <v>1142.6300000000001</v>
      </c>
      <c r="CZ139">
        <f t="shared" si="16"/>
        <v>1142.6300000000001</v>
      </c>
      <c r="DA139">
        <f t="shared" si="17"/>
        <v>1</v>
      </c>
      <c r="DB139">
        <v>0</v>
      </c>
    </row>
    <row r="140" spans="1:106" x14ac:dyDescent="0.2">
      <c r="A140">
        <f>ROW(Source!A265)</f>
        <v>265</v>
      </c>
      <c r="B140">
        <v>37598633</v>
      </c>
      <c r="C140">
        <v>37600282</v>
      </c>
      <c r="D140">
        <v>34188313</v>
      </c>
      <c r="E140">
        <v>1</v>
      </c>
      <c r="F140">
        <v>1</v>
      </c>
      <c r="G140">
        <v>15</v>
      </c>
      <c r="H140">
        <v>2</v>
      </c>
      <c r="I140" t="s">
        <v>244</v>
      </c>
      <c r="J140" t="s">
        <v>245</v>
      </c>
      <c r="K140" t="s">
        <v>246</v>
      </c>
      <c r="L140">
        <v>1368</v>
      </c>
      <c r="N140">
        <v>1011</v>
      </c>
      <c r="O140" t="s">
        <v>219</v>
      </c>
      <c r="P140" t="s">
        <v>219</v>
      </c>
      <c r="Q140">
        <v>1</v>
      </c>
      <c r="W140">
        <v>0</v>
      </c>
      <c r="X140">
        <v>-882610335</v>
      </c>
      <c r="Y140">
        <v>0.65</v>
      </c>
      <c r="AA140">
        <v>0</v>
      </c>
      <c r="AB140">
        <v>1590.37</v>
      </c>
      <c r="AC140">
        <v>497.81</v>
      </c>
      <c r="AD140">
        <v>0</v>
      </c>
      <c r="AE140">
        <v>0</v>
      </c>
      <c r="AF140">
        <v>1590.37</v>
      </c>
      <c r="AG140">
        <v>497.81</v>
      </c>
      <c r="AH140">
        <v>0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0.65</v>
      </c>
      <c r="AU140" t="s">
        <v>3</v>
      </c>
      <c r="AV140">
        <v>0</v>
      </c>
      <c r="AW140">
        <v>2</v>
      </c>
      <c r="AX140">
        <v>37602492</v>
      </c>
      <c r="AY140">
        <v>1</v>
      </c>
      <c r="AZ140">
        <v>0</v>
      </c>
      <c r="BA140">
        <v>140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Y140*Source!I265</f>
        <v>5.5704999999999998E-2</v>
      </c>
      <c r="CY140">
        <f t="shared" si="15"/>
        <v>1590.37</v>
      </c>
      <c r="CZ140">
        <f t="shared" si="16"/>
        <v>1590.37</v>
      </c>
      <c r="DA140">
        <f t="shared" si="17"/>
        <v>1</v>
      </c>
      <c r="DB140">
        <v>0</v>
      </c>
    </row>
    <row r="141" spans="1:106" x14ac:dyDescent="0.2">
      <c r="A141">
        <f>ROW(Source!A265)</f>
        <v>265</v>
      </c>
      <c r="B141">
        <v>37598633</v>
      </c>
      <c r="C141">
        <v>37600282</v>
      </c>
      <c r="D141">
        <v>34189676</v>
      </c>
      <c r="E141">
        <v>1</v>
      </c>
      <c r="F141">
        <v>1</v>
      </c>
      <c r="G141">
        <v>15</v>
      </c>
      <c r="H141">
        <v>3</v>
      </c>
      <c r="I141" t="s">
        <v>262</v>
      </c>
      <c r="J141" t="s">
        <v>263</v>
      </c>
      <c r="K141" t="s">
        <v>264</v>
      </c>
      <c r="L141">
        <v>1339</v>
      </c>
      <c r="N141">
        <v>1007</v>
      </c>
      <c r="O141" t="s">
        <v>115</v>
      </c>
      <c r="P141" t="s">
        <v>115</v>
      </c>
      <c r="Q141">
        <v>1</v>
      </c>
      <c r="W141">
        <v>0</v>
      </c>
      <c r="X141">
        <v>812099054</v>
      </c>
      <c r="Y141">
        <v>126</v>
      </c>
      <c r="AA141">
        <v>1910.98</v>
      </c>
      <c r="AB141">
        <v>0</v>
      </c>
      <c r="AC141">
        <v>0</v>
      </c>
      <c r="AD141">
        <v>0</v>
      </c>
      <c r="AE141">
        <v>1910.98</v>
      </c>
      <c r="AF141">
        <v>0</v>
      </c>
      <c r="AG141">
        <v>0</v>
      </c>
      <c r="AH141">
        <v>0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1</v>
      </c>
      <c r="AQ141">
        <v>0</v>
      </c>
      <c r="AR141">
        <v>0</v>
      </c>
      <c r="AS141" t="s">
        <v>3</v>
      </c>
      <c r="AT141">
        <v>126</v>
      </c>
      <c r="AU141" t="s">
        <v>3</v>
      </c>
      <c r="AV141">
        <v>0</v>
      </c>
      <c r="AW141">
        <v>2</v>
      </c>
      <c r="AX141">
        <v>37602493</v>
      </c>
      <c r="AY141">
        <v>1</v>
      </c>
      <c r="AZ141">
        <v>0</v>
      </c>
      <c r="BA141">
        <v>141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Y141*Source!I265</f>
        <v>10.7982</v>
      </c>
      <c r="CY141">
        <f>AA141</f>
        <v>1910.98</v>
      </c>
      <c r="CZ141">
        <f>AE141</f>
        <v>1910.98</v>
      </c>
      <c r="DA141">
        <f>AI141</f>
        <v>1</v>
      </c>
      <c r="DB141">
        <v>0</v>
      </c>
    </row>
    <row r="142" spans="1:106" x14ac:dyDescent="0.2">
      <c r="A142">
        <f>ROW(Source!A265)</f>
        <v>265</v>
      </c>
      <c r="B142">
        <v>37598633</v>
      </c>
      <c r="C142">
        <v>37600282</v>
      </c>
      <c r="D142">
        <v>34190363</v>
      </c>
      <c r="E142">
        <v>1</v>
      </c>
      <c r="F142">
        <v>1</v>
      </c>
      <c r="G142">
        <v>15</v>
      </c>
      <c r="H142">
        <v>3</v>
      </c>
      <c r="I142" t="s">
        <v>250</v>
      </c>
      <c r="J142" t="s">
        <v>251</v>
      </c>
      <c r="K142" t="s">
        <v>252</v>
      </c>
      <c r="L142">
        <v>1339</v>
      </c>
      <c r="N142">
        <v>1007</v>
      </c>
      <c r="O142" t="s">
        <v>115</v>
      </c>
      <c r="P142" t="s">
        <v>115</v>
      </c>
      <c r="Q142">
        <v>1</v>
      </c>
      <c r="W142">
        <v>0</v>
      </c>
      <c r="X142">
        <v>-156220903</v>
      </c>
      <c r="Y142">
        <v>7</v>
      </c>
      <c r="AA142">
        <v>28.77</v>
      </c>
      <c r="AB142">
        <v>0</v>
      </c>
      <c r="AC142">
        <v>0</v>
      </c>
      <c r="AD142">
        <v>0</v>
      </c>
      <c r="AE142">
        <v>28.77</v>
      </c>
      <c r="AF142">
        <v>0</v>
      </c>
      <c r="AG142">
        <v>0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1</v>
      </c>
      <c r="AQ142">
        <v>0</v>
      </c>
      <c r="AR142">
        <v>0</v>
      </c>
      <c r="AS142" t="s">
        <v>3</v>
      </c>
      <c r="AT142">
        <v>7</v>
      </c>
      <c r="AU142" t="s">
        <v>3</v>
      </c>
      <c r="AV142">
        <v>0</v>
      </c>
      <c r="AW142">
        <v>2</v>
      </c>
      <c r="AX142">
        <v>37602494</v>
      </c>
      <c r="AY142">
        <v>1</v>
      </c>
      <c r="AZ142">
        <v>0</v>
      </c>
      <c r="BA142">
        <v>142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Y142*Source!I265</f>
        <v>0.59989999999999999</v>
      </c>
      <c r="CY142">
        <f>AA142</f>
        <v>28.77</v>
      </c>
      <c r="CZ142">
        <f>AE142</f>
        <v>28.77</v>
      </c>
      <c r="DA142">
        <f>AI142</f>
        <v>1</v>
      </c>
      <c r="DB142">
        <v>0</v>
      </c>
    </row>
    <row r="143" spans="1:106" x14ac:dyDescent="0.2">
      <c r="A143">
        <f>ROW(Source!A266)</f>
        <v>266</v>
      </c>
      <c r="B143">
        <v>37598633</v>
      </c>
      <c r="C143">
        <v>37600301</v>
      </c>
      <c r="D143">
        <v>34176775</v>
      </c>
      <c r="E143">
        <v>15</v>
      </c>
      <c r="F143">
        <v>1</v>
      </c>
      <c r="G143">
        <v>15</v>
      </c>
      <c r="H143">
        <v>1</v>
      </c>
      <c r="I143" t="s">
        <v>213</v>
      </c>
      <c r="J143" t="s">
        <v>3</v>
      </c>
      <c r="K143" t="s">
        <v>214</v>
      </c>
      <c r="L143">
        <v>1191</v>
      </c>
      <c r="N143">
        <v>1013</v>
      </c>
      <c r="O143" t="s">
        <v>215</v>
      </c>
      <c r="P143" t="s">
        <v>215</v>
      </c>
      <c r="Q143">
        <v>1</v>
      </c>
      <c r="W143">
        <v>0</v>
      </c>
      <c r="X143">
        <v>476480486</v>
      </c>
      <c r="Y143">
        <v>13.57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3</v>
      </c>
      <c r="AT143">
        <v>13.57</v>
      </c>
      <c r="AU143" t="s">
        <v>3</v>
      </c>
      <c r="AV143">
        <v>1</v>
      </c>
      <c r="AW143">
        <v>2</v>
      </c>
      <c r="AX143">
        <v>37602495</v>
      </c>
      <c r="AY143">
        <v>1</v>
      </c>
      <c r="AZ143">
        <v>0</v>
      </c>
      <c r="BA143">
        <v>143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Y143*Source!I266</f>
        <v>11.629490000000001</v>
      </c>
      <c r="CY143">
        <f>AD143</f>
        <v>0</v>
      </c>
      <c r="CZ143">
        <f>AH143</f>
        <v>0</v>
      </c>
      <c r="DA143">
        <f>AL143</f>
        <v>1</v>
      </c>
      <c r="DB143">
        <v>0</v>
      </c>
    </row>
    <row r="144" spans="1:106" x14ac:dyDescent="0.2">
      <c r="A144">
        <f>ROW(Source!A266)</f>
        <v>266</v>
      </c>
      <c r="B144">
        <v>37598633</v>
      </c>
      <c r="C144">
        <v>37600301</v>
      </c>
      <c r="D144">
        <v>34188316</v>
      </c>
      <c r="E144">
        <v>1</v>
      </c>
      <c r="F144">
        <v>1</v>
      </c>
      <c r="G144">
        <v>15</v>
      </c>
      <c r="H144">
        <v>2</v>
      </c>
      <c r="I144" t="s">
        <v>265</v>
      </c>
      <c r="J144" t="s">
        <v>266</v>
      </c>
      <c r="K144" t="s">
        <v>267</v>
      </c>
      <c r="L144">
        <v>1368</v>
      </c>
      <c r="N144">
        <v>1011</v>
      </c>
      <c r="O144" t="s">
        <v>219</v>
      </c>
      <c r="P144" t="s">
        <v>219</v>
      </c>
      <c r="Q144">
        <v>1</v>
      </c>
      <c r="W144">
        <v>0</v>
      </c>
      <c r="X144">
        <v>1511709852</v>
      </c>
      <c r="Y144">
        <v>0.46</v>
      </c>
      <c r="AA144">
        <v>0</v>
      </c>
      <c r="AB144">
        <v>628.07000000000005</v>
      </c>
      <c r="AC144">
        <v>377.51</v>
      </c>
      <c r="AD144">
        <v>0</v>
      </c>
      <c r="AE144">
        <v>0</v>
      </c>
      <c r="AF144">
        <v>628.07000000000005</v>
      </c>
      <c r="AG144">
        <v>377.51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0.46</v>
      </c>
      <c r="AU144" t="s">
        <v>3</v>
      </c>
      <c r="AV144">
        <v>0</v>
      </c>
      <c r="AW144">
        <v>2</v>
      </c>
      <c r="AX144">
        <v>37602496</v>
      </c>
      <c r="AY144">
        <v>1</v>
      </c>
      <c r="AZ144">
        <v>0</v>
      </c>
      <c r="BA144">
        <v>144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Y144*Source!I266</f>
        <v>0.39422000000000001</v>
      </c>
      <c r="CY144">
        <f>AB144</f>
        <v>628.07000000000005</v>
      </c>
      <c r="CZ144">
        <f>AF144</f>
        <v>628.07000000000005</v>
      </c>
      <c r="DA144">
        <f>AJ144</f>
        <v>1</v>
      </c>
      <c r="DB144">
        <v>0</v>
      </c>
    </row>
    <row r="145" spans="1:106" x14ac:dyDescent="0.2">
      <c r="A145">
        <f>ROW(Source!A266)</f>
        <v>266</v>
      </c>
      <c r="B145">
        <v>37598633</v>
      </c>
      <c r="C145">
        <v>37600301</v>
      </c>
      <c r="D145">
        <v>34188315</v>
      </c>
      <c r="E145">
        <v>1</v>
      </c>
      <c r="F145">
        <v>1</v>
      </c>
      <c r="G145">
        <v>15</v>
      </c>
      <c r="H145">
        <v>2</v>
      </c>
      <c r="I145" t="s">
        <v>268</v>
      </c>
      <c r="J145" t="s">
        <v>269</v>
      </c>
      <c r="K145" t="s">
        <v>270</v>
      </c>
      <c r="L145">
        <v>1368</v>
      </c>
      <c r="N145">
        <v>1011</v>
      </c>
      <c r="O145" t="s">
        <v>219</v>
      </c>
      <c r="P145" t="s">
        <v>219</v>
      </c>
      <c r="Q145">
        <v>1</v>
      </c>
      <c r="W145">
        <v>0</v>
      </c>
      <c r="X145">
        <v>941035487</v>
      </c>
      <c r="Y145">
        <v>1.39</v>
      </c>
      <c r="AA145">
        <v>0</v>
      </c>
      <c r="AB145">
        <v>681</v>
      </c>
      <c r="AC145">
        <v>389.98</v>
      </c>
      <c r="AD145">
        <v>0</v>
      </c>
      <c r="AE145">
        <v>0</v>
      </c>
      <c r="AF145">
        <v>681</v>
      </c>
      <c r="AG145">
        <v>389.98</v>
      </c>
      <c r="AH145">
        <v>0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3</v>
      </c>
      <c r="AT145">
        <v>1.39</v>
      </c>
      <c r="AU145" t="s">
        <v>3</v>
      </c>
      <c r="AV145">
        <v>0</v>
      </c>
      <c r="AW145">
        <v>2</v>
      </c>
      <c r="AX145">
        <v>37602497</v>
      </c>
      <c r="AY145">
        <v>1</v>
      </c>
      <c r="AZ145">
        <v>0</v>
      </c>
      <c r="BA145">
        <v>145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Y145*Source!I266</f>
        <v>1.1912299999999998</v>
      </c>
      <c r="CY145">
        <f>AB145</f>
        <v>681</v>
      </c>
      <c r="CZ145">
        <f>AF145</f>
        <v>681</v>
      </c>
      <c r="DA145">
        <f>AJ145</f>
        <v>1</v>
      </c>
      <c r="DB145">
        <v>0</v>
      </c>
    </row>
    <row r="146" spans="1:106" x14ac:dyDescent="0.2">
      <c r="A146">
        <f>ROW(Source!A266)</f>
        <v>266</v>
      </c>
      <c r="B146">
        <v>37598633</v>
      </c>
      <c r="C146">
        <v>37600301</v>
      </c>
      <c r="D146">
        <v>34191424</v>
      </c>
      <c r="E146">
        <v>1</v>
      </c>
      <c r="F146">
        <v>1</v>
      </c>
      <c r="G146">
        <v>15</v>
      </c>
      <c r="H146">
        <v>3</v>
      </c>
      <c r="I146" t="s">
        <v>271</v>
      </c>
      <c r="J146" t="s">
        <v>272</v>
      </c>
      <c r="K146" t="s">
        <v>273</v>
      </c>
      <c r="L146">
        <v>1348</v>
      </c>
      <c r="N146">
        <v>1009</v>
      </c>
      <c r="O146" t="s">
        <v>29</v>
      </c>
      <c r="P146" t="s">
        <v>29</v>
      </c>
      <c r="Q146">
        <v>1000</v>
      </c>
      <c r="W146">
        <v>0</v>
      </c>
      <c r="X146">
        <v>58957476</v>
      </c>
      <c r="Y146">
        <v>11.975</v>
      </c>
      <c r="AA146">
        <v>2314.4499999999998</v>
      </c>
      <c r="AB146">
        <v>0</v>
      </c>
      <c r="AC146">
        <v>0</v>
      </c>
      <c r="AD146">
        <v>0</v>
      </c>
      <c r="AE146">
        <v>2314.4499999999998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1</v>
      </c>
      <c r="AQ146">
        <v>0</v>
      </c>
      <c r="AR146">
        <v>0</v>
      </c>
      <c r="AS146" t="s">
        <v>3</v>
      </c>
      <c r="AT146">
        <v>9.58</v>
      </c>
      <c r="AU146" t="s">
        <v>54</v>
      </c>
      <c r="AV146">
        <v>0</v>
      </c>
      <c r="AW146">
        <v>2</v>
      </c>
      <c r="AX146">
        <v>37602498</v>
      </c>
      <c r="AY146">
        <v>1</v>
      </c>
      <c r="AZ146">
        <v>0</v>
      </c>
      <c r="BA146">
        <v>146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Y146*Source!I266</f>
        <v>10.262575</v>
      </c>
      <c r="CY146">
        <f>AA146</f>
        <v>2314.4499999999998</v>
      </c>
      <c r="CZ146">
        <f>AE146</f>
        <v>2314.4499999999998</v>
      </c>
      <c r="DA146">
        <f>AI146</f>
        <v>1</v>
      </c>
      <c r="DB146">
        <v>0</v>
      </c>
    </row>
    <row r="147" spans="1:106" x14ac:dyDescent="0.2">
      <c r="A147">
        <f>ROW(Source!A267)</f>
        <v>267</v>
      </c>
      <c r="B147">
        <v>37598633</v>
      </c>
      <c r="C147">
        <v>37600310</v>
      </c>
      <c r="D147">
        <v>34176775</v>
      </c>
      <c r="E147">
        <v>15</v>
      </c>
      <c r="F147">
        <v>1</v>
      </c>
      <c r="G147">
        <v>15</v>
      </c>
      <c r="H147">
        <v>1</v>
      </c>
      <c r="I147" t="s">
        <v>213</v>
      </c>
      <c r="J147" t="s">
        <v>3</v>
      </c>
      <c r="K147" t="s">
        <v>214</v>
      </c>
      <c r="L147">
        <v>1191</v>
      </c>
      <c r="N147">
        <v>1013</v>
      </c>
      <c r="O147" t="s">
        <v>215</v>
      </c>
      <c r="P147" t="s">
        <v>215</v>
      </c>
      <c r="Q147">
        <v>1</v>
      </c>
      <c r="W147">
        <v>0</v>
      </c>
      <c r="X147">
        <v>476480486</v>
      </c>
      <c r="Y147">
        <v>18.440000000000001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3</v>
      </c>
      <c r="AT147">
        <v>18.440000000000001</v>
      </c>
      <c r="AU147" t="s">
        <v>3</v>
      </c>
      <c r="AV147">
        <v>1</v>
      </c>
      <c r="AW147">
        <v>2</v>
      </c>
      <c r="AX147">
        <v>37602499</v>
      </c>
      <c r="AY147">
        <v>1</v>
      </c>
      <c r="AZ147">
        <v>0</v>
      </c>
      <c r="BA147">
        <v>147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Y147*Source!I267</f>
        <v>15.803080000000001</v>
      </c>
      <c r="CY147">
        <f>AD147</f>
        <v>0</v>
      </c>
      <c r="CZ147">
        <f>AH147</f>
        <v>0</v>
      </c>
      <c r="DA147">
        <f>AL147</f>
        <v>1</v>
      </c>
      <c r="DB147">
        <v>0</v>
      </c>
    </row>
    <row r="148" spans="1:106" x14ac:dyDescent="0.2">
      <c r="A148">
        <f>ROW(Source!A267)</f>
        <v>267</v>
      </c>
      <c r="B148">
        <v>37598633</v>
      </c>
      <c r="C148">
        <v>37600310</v>
      </c>
      <c r="D148">
        <v>34187808</v>
      </c>
      <c r="E148">
        <v>1</v>
      </c>
      <c r="F148">
        <v>1</v>
      </c>
      <c r="G148">
        <v>15</v>
      </c>
      <c r="H148">
        <v>2</v>
      </c>
      <c r="I148" t="s">
        <v>309</v>
      </c>
      <c r="J148" t="s">
        <v>310</v>
      </c>
      <c r="K148" t="s">
        <v>311</v>
      </c>
      <c r="L148">
        <v>1368</v>
      </c>
      <c r="N148">
        <v>1011</v>
      </c>
      <c r="O148" t="s">
        <v>219</v>
      </c>
      <c r="P148" t="s">
        <v>219</v>
      </c>
      <c r="Q148">
        <v>1</v>
      </c>
      <c r="W148">
        <v>0</v>
      </c>
      <c r="X148">
        <v>-853369462</v>
      </c>
      <c r="Y148">
        <v>2.64</v>
      </c>
      <c r="AA148">
        <v>0</v>
      </c>
      <c r="AB148">
        <v>401.44</v>
      </c>
      <c r="AC148">
        <v>272.81</v>
      </c>
      <c r="AD148">
        <v>0</v>
      </c>
      <c r="AE148">
        <v>0</v>
      </c>
      <c r="AF148">
        <v>401.44</v>
      </c>
      <c r="AG148">
        <v>272.81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3</v>
      </c>
      <c r="AT148">
        <v>2.64</v>
      </c>
      <c r="AU148" t="s">
        <v>3</v>
      </c>
      <c r="AV148">
        <v>0</v>
      </c>
      <c r="AW148">
        <v>2</v>
      </c>
      <c r="AX148">
        <v>37602500</v>
      </c>
      <c r="AY148">
        <v>1</v>
      </c>
      <c r="AZ148">
        <v>0</v>
      </c>
      <c r="BA148">
        <v>148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Y148*Source!I267</f>
        <v>2.26248</v>
      </c>
      <c r="CY148">
        <f>AB148</f>
        <v>401.44</v>
      </c>
      <c r="CZ148">
        <f>AF148</f>
        <v>401.44</v>
      </c>
      <c r="DA148">
        <f>AJ148</f>
        <v>1</v>
      </c>
      <c r="DB148">
        <v>0</v>
      </c>
    </row>
    <row r="149" spans="1:106" x14ac:dyDescent="0.2">
      <c r="A149">
        <f>ROW(Source!A267)</f>
        <v>267</v>
      </c>
      <c r="B149">
        <v>37598633</v>
      </c>
      <c r="C149">
        <v>37600310</v>
      </c>
      <c r="D149">
        <v>34187761</v>
      </c>
      <c r="E149">
        <v>1</v>
      </c>
      <c r="F149">
        <v>1</v>
      </c>
      <c r="G149">
        <v>15</v>
      </c>
      <c r="H149">
        <v>2</v>
      </c>
      <c r="I149" t="s">
        <v>312</v>
      </c>
      <c r="J149" t="s">
        <v>313</v>
      </c>
      <c r="K149" t="s">
        <v>314</v>
      </c>
      <c r="L149">
        <v>1368</v>
      </c>
      <c r="N149">
        <v>1011</v>
      </c>
      <c r="O149" t="s">
        <v>219</v>
      </c>
      <c r="P149" t="s">
        <v>219</v>
      </c>
      <c r="Q149">
        <v>1</v>
      </c>
      <c r="W149">
        <v>0</v>
      </c>
      <c r="X149">
        <v>1830593596</v>
      </c>
      <c r="Y149">
        <v>1.18</v>
      </c>
      <c r="AA149">
        <v>0</v>
      </c>
      <c r="AB149">
        <v>6.05</v>
      </c>
      <c r="AC149">
        <v>0.71</v>
      </c>
      <c r="AD149">
        <v>0</v>
      </c>
      <c r="AE149">
        <v>0</v>
      </c>
      <c r="AF149">
        <v>6.05</v>
      </c>
      <c r="AG149">
        <v>0.71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0</v>
      </c>
      <c r="AQ149">
        <v>0</v>
      </c>
      <c r="AR149">
        <v>0</v>
      </c>
      <c r="AS149" t="s">
        <v>3</v>
      </c>
      <c r="AT149">
        <v>1.18</v>
      </c>
      <c r="AU149" t="s">
        <v>3</v>
      </c>
      <c r="AV149">
        <v>0</v>
      </c>
      <c r="AW149">
        <v>2</v>
      </c>
      <c r="AX149">
        <v>37602501</v>
      </c>
      <c r="AY149">
        <v>1</v>
      </c>
      <c r="AZ149">
        <v>0</v>
      </c>
      <c r="BA149">
        <v>149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Y149*Source!I267</f>
        <v>1.0112599999999998</v>
      </c>
      <c r="CY149">
        <f>AB149</f>
        <v>6.05</v>
      </c>
      <c r="CZ149">
        <f>AF149</f>
        <v>6.05</v>
      </c>
      <c r="DA149">
        <f>AJ149</f>
        <v>1</v>
      </c>
      <c r="DB149">
        <v>0</v>
      </c>
    </row>
    <row r="150" spans="1:106" x14ac:dyDescent="0.2">
      <c r="A150">
        <f>ROW(Source!A267)</f>
        <v>267</v>
      </c>
      <c r="B150">
        <v>37598633</v>
      </c>
      <c r="C150">
        <v>37600310</v>
      </c>
      <c r="D150">
        <v>34188395</v>
      </c>
      <c r="E150">
        <v>1</v>
      </c>
      <c r="F150">
        <v>1</v>
      </c>
      <c r="G150">
        <v>15</v>
      </c>
      <c r="H150">
        <v>2</v>
      </c>
      <c r="I150" t="s">
        <v>315</v>
      </c>
      <c r="J150" t="s">
        <v>316</v>
      </c>
      <c r="K150" t="s">
        <v>317</v>
      </c>
      <c r="L150">
        <v>1368</v>
      </c>
      <c r="N150">
        <v>1011</v>
      </c>
      <c r="O150" t="s">
        <v>219</v>
      </c>
      <c r="P150" t="s">
        <v>219</v>
      </c>
      <c r="Q150">
        <v>1</v>
      </c>
      <c r="W150">
        <v>0</v>
      </c>
      <c r="X150">
        <v>564802996</v>
      </c>
      <c r="Y150">
        <v>0.01</v>
      </c>
      <c r="AA150">
        <v>0</v>
      </c>
      <c r="AB150">
        <v>482.71</v>
      </c>
      <c r="AC150">
        <v>373.38</v>
      </c>
      <c r="AD150">
        <v>0</v>
      </c>
      <c r="AE150">
        <v>0</v>
      </c>
      <c r="AF150">
        <v>482.71</v>
      </c>
      <c r="AG150">
        <v>373.38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1</v>
      </c>
      <c r="AP150">
        <v>0</v>
      </c>
      <c r="AQ150">
        <v>0</v>
      </c>
      <c r="AR150">
        <v>0</v>
      </c>
      <c r="AS150" t="s">
        <v>3</v>
      </c>
      <c r="AT150">
        <v>0.01</v>
      </c>
      <c r="AU150" t="s">
        <v>3</v>
      </c>
      <c r="AV150">
        <v>0</v>
      </c>
      <c r="AW150">
        <v>2</v>
      </c>
      <c r="AX150">
        <v>37602502</v>
      </c>
      <c r="AY150">
        <v>1</v>
      </c>
      <c r="AZ150">
        <v>0</v>
      </c>
      <c r="BA150">
        <v>150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Y150*Source!I267</f>
        <v>8.5699999999999995E-3</v>
      </c>
      <c r="CY150">
        <f>AB150</f>
        <v>482.71</v>
      </c>
      <c r="CZ150">
        <f>AF150</f>
        <v>482.71</v>
      </c>
      <c r="DA150">
        <f>AJ150</f>
        <v>1</v>
      </c>
      <c r="DB150">
        <v>0</v>
      </c>
    </row>
    <row r="151" spans="1:106" x14ac:dyDescent="0.2">
      <c r="A151">
        <f>ROW(Source!A267)</f>
        <v>267</v>
      </c>
      <c r="B151">
        <v>37598633</v>
      </c>
      <c r="C151">
        <v>37600310</v>
      </c>
      <c r="D151">
        <v>34188225</v>
      </c>
      <c r="E151">
        <v>1</v>
      </c>
      <c r="F151">
        <v>1</v>
      </c>
      <c r="G151">
        <v>15</v>
      </c>
      <c r="H151">
        <v>2</v>
      </c>
      <c r="I151" t="s">
        <v>318</v>
      </c>
      <c r="J151" t="s">
        <v>319</v>
      </c>
      <c r="K151" t="s">
        <v>320</v>
      </c>
      <c r="L151">
        <v>1368</v>
      </c>
      <c r="N151">
        <v>1011</v>
      </c>
      <c r="O151" t="s">
        <v>219</v>
      </c>
      <c r="P151" t="s">
        <v>219</v>
      </c>
      <c r="Q151">
        <v>1</v>
      </c>
      <c r="W151">
        <v>0</v>
      </c>
      <c r="X151">
        <v>-418809971</v>
      </c>
      <c r="Y151">
        <v>2.64</v>
      </c>
      <c r="AA151">
        <v>0</v>
      </c>
      <c r="AB151">
        <v>342.24</v>
      </c>
      <c r="AC151">
        <v>296.26</v>
      </c>
      <c r="AD151">
        <v>0</v>
      </c>
      <c r="AE151">
        <v>0</v>
      </c>
      <c r="AF151">
        <v>342.24</v>
      </c>
      <c r="AG151">
        <v>296.26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1</v>
      </c>
      <c r="AP151">
        <v>0</v>
      </c>
      <c r="AQ151">
        <v>0</v>
      </c>
      <c r="AR151">
        <v>0</v>
      </c>
      <c r="AS151" t="s">
        <v>3</v>
      </c>
      <c r="AT151">
        <v>2.64</v>
      </c>
      <c r="AU151" t="s">
        <v>3</v>
      </c>
      <c r="AV151">
        <v>0</v>
      </c>
      <c r="AW151">
        <v>2</v>
      </c>
      <c r="AX151">
        <v>37602503</v>
      </c>
      <c r="AY151">
        <v>1</v>
      </c>
      <c r="AZ151">
        <v>0</v>
      </c>
      <c r="BA151">
        <v>151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Y151*Source!I267</f>
        <v>2.26248</v>
      </c>
      <c r="CY151">
        <f>AB151</f>
        <v>342.24</v>
      </c>
      <c r="CZ151">
        <f>AF151</f>
        <v>342.24</v>
      </c>
      <c r="DA151">
        <f>AJ151</f>
        <v>1</v>
      </c>
      <c r="DB151">
        <v>0</v>
      </c>
    </row>
    <row r="152" spans="1:106" x14ac:dyDescent="0.2">
      <c r="A152">
        <f>ROW(Source!A267)</f>
        <v>267</v>
      </c>
      <c r="B152">
        <v>37598633</v>
      </c>
      <c r="C152">
        <v>37600310</v>
      </c>
      <c r="D152">
        <v>34190584</v>
      </c>
      <c r="E152">
        <v>1</v>
      </c>
      <c r="F152">
        <v>1</v>
      </c>
      <c r="G152">
        <v>15</v>
      </c>
      <c r="H152">
        <v>3</v>
      </c>
      <c r="I152" t="s">
        <v>321</v>
      </c>
      <c r="J152" t="s">
        <v>322</v>
      </c>
      <c r="K152" t="s">
        <v>323</v>
      </c>
      <c r="L152">
        <v>1327</v>
      </c>
      <c r="N152">
        <v>1005</v>
      </c>
      <c r="O152" t="s">
        <v>176</v>
      </c>
      <c r="P152" t="s">
        <v>176</v>
      </c>
      <c r="Q152">
        <v>1</v>
      </c>
      <c r="W152">
        <v>0</v>
      </c>
      <c r="X152">
        <v>1535195253</v>
      </c>
      <c r="Y152">
        <v>5.6</v>
      </c>
      <c r="AA152">
        <v>12.61</v>
      </c>
      <c r="AB152">
        <v>0</v>
      </c>
      <c r="AC152">
        <v>0</v>
      </c>
      <c r="AD152">
        <v>0</v>
      </c>
      <c r="AE152">
        <v>12.61</v>
      </c>
      <c r="AF152">
        <v>0</v>
      </c>
      <c r="AG152">
        <v>0</v>
      </c>
      <c r="AH152">
        <v>0</v>
      </c>
      <c r="AI152">
        <v>1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1</v>
      </c>
      <c r="AQ152">
        <v>0</v>
      </c>
      <c r="AR152">
        <v>0</v>
      </c>
      <c r="AS152" t="s">
        <v>3</v>
      </c>
      <c r="AT152">
        <v>5.6</v>
      </c>
      <c r="AU152" t="s">
        <v>3</v>
      </c>
      <c r="AV152">
        <v>0</v>
      </c>
      <c r="AW152">
        <v>2</v>
      </c>
      <c r="AX152">
        <v>37602504</v>
      </c>
      <c r="AY152">
        <v>1</v>
      </c>
      <c r="AZ152">
        <v>0</v>
      </c>
      <c r="BA152">
        <v>152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Y152*Source!I267</f>
        <v>4.7991999999999999</v>
      </c>
      <c r="CY152">
        <f>AA152</f>
        <v>12.61</v>
      </c>
      <c r="CZ152">
        <f>AE152</f>
        <v>12.61</v>
      </c>
      <c r="DA152">
        <f>AI152</f>
        <v>1</v>
      </c>
      <c r="DB152">
        <v>0</v>
      </c>
    </row>
    <row r="153" spans="1:106" x14ac:dyDescent="0.2">
      <c r="A153">
        <f>ROW(Source!A267)</f>
        <v>267</v>
      </c>
      <c r="B153">
        <v>37598633</v>
      </c>
      <c r="C153">
        <v>37600310</v>
      </c>
      <c r="D153">
        <v>34190671</v>
      </c>
      <c r="E153">
        <v>1</v>
      </c>
      <c r="F153">
        <v>1</v>
      </c>
      <c r="G153">
        <v>15</v>
      </c>
      <c r="H153">
        <v>3</v>
      </c>
      <c r="I153" t="s">
        <v>324</v>
      </c>
      <c r="J153" t="s">
        <v>325</v>
      </c>
      <c r="K153" t="s">
        <v>326</v>
      </c>
      <c r="L153">
        <v>1348</v>
      </c>
      <c r="N153">
        <v>1009</v>
      </c>
      <c r="O153" t="s">
        <v>29</v>
      </c>
      <c r="P153" t="s">
        <v>29</v>
      </c>
      <c r="Q153">
        <v>1000</v>
      </c>
      <c r="W153">
        <v>0</v>
      </c>
      <c r="X153">
        <v>-837791969</v>
      </c>
      <c r="Y153">
        <v>3.15E-3</v>
      </c>
      <c r="AA153">
        <v>100975.39</v>
      </c>
      <c r="AB153">
        <v>0</v>
      </c>
      <c r="AC153">
        <v>0</v>
      </c>
      <c r="AD153">
        <v>0</v>
      </c>
      <c r="AE153">
        <v>100975.39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1</v>
      </c>
      <c r="AQ153">
        <v>0</v>
      </c>
      <c r="AR153">
        <v>0</v>
      </c>
      <c r="AS153" t="s">
        <v>3</v>
      </c>
      <c r="AT153">
        <v>3.15E-3</v>
      </c>
      <c r="AU153" t="s">
        <v>3</v>
      </c>
      <c r="AV153">
        <v>0</v>
      </c>
      <c r="AW153">
        <v>2</v>
      </c>
      <c r="AX153">
        <v>37602505</v>
      </c>
      <c r="AY153">
        <v>1</v>
      </c>
      <c r="AZ153">
        <v>0</v>
      </c>
      <c r="BA153">
        <v>153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Y153*Source!I267</f>
        <v>2.6995499999999998E-3</v>
      </c>
      <c r="CY153">
        <f>AA153</f>
        <v>100975.39</v>
      </c>
      <c r="CZ153">
        <f>AE153</f>
        <v>100975.39</v>
      </c>
      <c r="DA153">
        <f>AI153</f>
        <v>1</v>
      </c>
      <c r="DB153">
        <v>0</v>
      </c>
    </row>
    <row r="154" spans="1:106" x14ac:dyDescent="0.2">
      <c r="A154">
        <f>ROW(Source!A267)</f>
        <v>267</v>
      </c>
      <c r="B154">
        <v>37598633</v>
      </c>
      <c r="C154">
        <v>37600310</v>
      </c>
      <c r="D154">
        <v>34190888</v>
      </c>
      <c r="E154">
        <v>1</v>
      </c>
      <c r="F154">
        <v>1</v>
      </c>
      <c r="G154">
        <v>15</v>
      </c>
      <c r="H154">
        <v>3</v>
      </c>
      <c r="I154" t="s">
        <v>327</v>
      </c>
      <c r="J154" t="s">
        <v>328</v>
      </c>
      <c r="K154" t="s">
        <v>329</v>
      </c>
      <c r="L154">
        <v>1346</v>
      </c>
      <c r="N154">
        <v>1009</v>
      </c>
      <c r="O154" t="s">
        <v>330</v>
      </c>
      <c r="P154" t="s">
        <v>330</v>
      </c>
      <c r="Q154">
        <v>1</v>
      </c>
      <c r="W154">
        <v>0</v>
      </c>
      <c r="X154">
        <v>-1646851010</v>
      </c>
      <c r="Y154">
        <v>735</v>
      </c>
      <c r="AA154">
        <v>20.03</v>
      </c>
      <c r="AB154">
        <v>0</v>
      </c>
      <c r="AC154">
        <v>0</v>
      </c>
      <c r="AD154">
        <v>0</v>
      </c>
      <c r="AE154">
        <v>20.03</v>
      </c>
      <c r="AF154">
        <v>0</v>
      </c>
      <c r="AG154">
        <v>0</v>
      </c>
      <c r="AH154">
        <v>0</v>
      </c>
      <c r="AI154">
        <v>1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1</v>
      </c>
      <c r="AQ154">
        <v>0</v>
      </c>
      <c r="AR154">
        <v>0</v>
      </c>
      <c r="AS154" t="s">
        <v>3</v>
      </c>
      <c r="AT154">
        <v>735</v>
      </c>
      <c r="AU154" t="s">
        <v>3</v>
      </c>
      <c r="AV154">
        <v>0</v>
      </c>
      <c r="AW154">
        <v>2</v>
      </c>
      <c r="AX154">
        <v>37602506</v>
      </c>
      <c r="AY154">
        <v>1</v>
      </c>
      <c r="AZ154">
        <v>0</v>
      </c>
      <c r="BA154">
        <v>154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Y154*Source!I267</f>
        <v>629.89499999999998</v>
      </c>
      <c r="CY154">
        <f>AA154</f>
        <v>20.03</v>
      </c>
      <c r="CZ154">
        <f>AE154</f>
        <v>20.03</v>
      </c>
      <c r="DA154">
        <f>AI154</f>
        <v>1</v>
      </c>
      <c r="DB154">
        <v>0</v>
      </c>
    </row>
    <row r="155" spans="1:106" x14ac:dyDescent="0.2">
      <c r="A155">
        <f>ROW(Source!A267)</f>
        <v>267</v>
      </c>
      <c r="B155">
        <v>37598633</v>
      </c>
      <c r="C155">
        <v>37600310</v>
      </c>
      <c r="D155">
        <v>34190895</v>
      </c>
      <c r="E155">
        <v>1</v>
      </c>
      <c r="F155">
        <v>1</v>
      </c>
      <c r="G155">
        <v>15</v>
      </c>
      <c r="H155">
        <v>3</v>
      </c>
      <c r="I155" t="s">
        <v>331</v>
      </c>
      <c r="J155" t="s">
        <v>332</v>
      </c>
      <c r="K155" t="s">
        <v>333</v>
      </c>
      <c r="L155">
        <v>1346</v>
      </c>
      <c r="N155">
        <v>1009</v>
      </c>
      <c r="O155" t="s">
        <v>330</v>
      </c>
      <c r="P155" t="s">
        <v>330</v>
      </c>
      <c r="Q155">
        <v>1</v>
      </c>
      <c r="W155">
        <v>0</v>
      </c>
      <c r="X155">
        <v>1601901178</v>
      </c>
      <c r="Y155">
        <v>241.5</v>
      </c>
      <c r="AA155">
        <v>175.18</v>
      </c>
      <c r="AB155">
        <v>0</v>
      </c>
      <c r="AC155">
        <v>0</v>
      </c>
      <c r="AD155">
        <v>0</v>
      </c>
      <c r="AE155">
        <v>175.18</v>
      </c>
      <c r="AF155">
        <v>0</v>
      </c>
      <c r="AG155">
        <v>0</v>
      </c>
      <c r="AH155">
        <v>0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1</v>
      </c>
      <c r="AQ155">
        <v>0</v>
      </c>
      <c r="AR155">
        <v>0</v>
      </c>
      <c r="AS155" t="s">
        <v>3</v>
      </c>
      <c r="AT155">
        <v>241.5</v>
      </c>
      <c r="AU155" t="s">
        <v>3</v>
      </c>
      <c r="AV155">
        <v>0</v>
      </c>
      <c r="AW155">
        <v>2</v>
      </c>
      <c r="AX155">
        <v>37602507</v>
      </c>
      <c r="AY155">
        <v>1</v>
      </c>
      <c r="AZ155">
        <v>0</v>
      </c>
      <c r="BA155">
        <v>155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Y155*Source!I267</f>
        <v>206.96549999999999</v>
      </c>
      <c r="CY155">
        <f>AA155</f>
        <v>175.18</v>
      </c>
      <c r="CZ155">
        <f>AE155</f>
        <v>175.18</v>
      </c>
      <c r="DA155">
        <f>AI155</f>
        <v>1</v>
      </c>
      <c r="DB155">
        <v>0</v>
      </c>
    </row>
    <row r="156" spans="1:106" x14ac:dyDescent="0.2">
      <c r="A156">
        <f>ROW(Source!A267)</f>
        <v>267</v>
      </c>
      <c r="B156">
        <v>37598633</v>
      </c>
      <c r="C156">
        <v>37600310</v>
      </c>
      <c r="D156">
        <v>34188917</v>
      </c>
      <c r="E156">
        <v>1</v>
      </c>
      <c r="F156">
        <v>1</v>
      </c>
      <c r="G156">
        <v>15</v>
      </c>
      <c r="H156">
        <v>3</v>
      </c>
      <c r="I156" t="s">
        <v>334</v>
      </c>
      <c r="J156" t="s">
        <v>335</v>
      </c>
      <c r="K156" t="s">
        <v>336</v>
      </c>
      <c r="L156">
        <v>1348</v>
      </c>
      <c r="N156">
        <v>1009</v>
      </c>
      <c r="O156" t="s">
        <v>29</v>
      </c>
      <c r="P156" t="s">
        <v>29</v>
      </c>
      <c r="Q156">
        <v>1000</v>
      </c>
      <c r="W156">
        <v>0</v>
      </c>
      <c r="X156">
        <v>-946191126</v>
      </c>
      <c r="Y156">
        <v>5.2499999999999998E-2</v>
      </c>
      <c r="AA156">
        <v>360260.32</v>
      </c>
      <c r="AB156">
        <v>0</v>
      </c>
      <c r="AC156">
        <v>0</v>
      </c>
      <c r="AD156">
        <v>0</v>
      </c>
      <c r="AE156">
        <v>360260.32</v>
      </c>
      <c r="AF156">
        <v>0</v>
      </c>
      <c r="AG156">
        <v>0</v>
      </c>
      <c r="AH156">
        <v>0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1</v>
      </c>
      <c r="AQ156">
        <v>0</v>
      </c>
      <c r="AR156">
        <v>0</v>
      </c>
      <c r="AS156" t="s">
        <v>3</v>
      </c>
      <c r="AT156">
        <v>5.2499999999999998E-2</v>
      </c>
      <c r="AU156" t="s">
        <v>3</v>
      </c>
      <c r="AV156">
        <v>0</v>
      </c>
      <c r="AW156">
        <v>2</v>
      </c>
      <c r="AX156">
        <v>37602508</v>
      </c>
      <c r="AY156">
        <v>1</v>
      </c>
      <c r="AZ156">
        <v>0</v>
      </c>
      <c r="BA156">
        <v>156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Y156*Source!I267</f>
        <v>4.4992499999999998E-2</v>
      </c>
      <c r="CY156">
        <f>AA156</f>
        <v>360260.32</v>
      </c>
      <c r="CZ156">
        <f>AE156</f>
        <v>360260.32</v>
      </c>
      <c r="DA156">
        <f>AI156</f>
        <v>1</v>
      </c>
      <c r="DB156">
        <v>0</v>
      </c>
    </row>
    <row r="157" spans="1:106" x14ac:dyDescent="0.2">
      <c r="A157">
        <f>ROW(Source!A268)</f>
        <v>268</v>
      </c>
      <c r="B157">
        <v>37598633</v>
      </c>
      <c r="C157">
        <v>37600331</v>
      </c>
      <c r="D157">
        <v>34176775</v>
      </c>
      <c r="E157">
        <v>15</v>
      </c>
      <c r="F157">
        <v>1</v>
      </c>
      <c r="G157">
        <v>15</v>
      </c>
      <c r="H157">
        <v>1</v>
      </c>
      <c r="I157" t="s">
        <v>213</v>
      </c>
      <c r="J157" t="s">
        <v>3</v>
      </c>
      <c r="K157" t="s">
        <v>214</v>
      </c>
      <c r="L157">
        <v>1191</v>
      </c>
      <c r="N157">
        <v>1013</v>
      </c>
      <c r="O157" t="s">
        <v>215</v>
      </c>
      <c r="P157" t="s">
        <v>215</v>
      </c>
      <c r="Q157">
        <v>1</v>
      </c>
      <c r="W157">
        <v>0</v>
      </c>
      <c r="X157">
        <v>476480486</v>
      </c>
      <c r="Y157">
        <v>2.65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0</v>
      </c>
      <c r="AQ157">
        <v>0</v>
      </c>
      <c r="AR157">
        <v>0</v>
      </c>
      <c r="AS157" t="s">
        <v>3</v>
      </c>
      <c r="AT157">
        <v>2.65</v>
      </c>
      <c r="AU157" t="s">
        <v>3</v>
      </c>
      <c r="AV157">
        <v>1</v>
      </c>
      <c r="AW157">
        <v>2</v>
      </c>
      <c r="AX157">
        <v>37602509</v>
      </c>
      <c r="AY157">
        <v>1</v>
      </c>
      <c r="AZ157">
        <v>0</v>
      </c>
      <c r="BA157">
        <v>157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Y157*Source!I268</f>
        <v>2.2710499999999998</v>
      </c>
      <c r="CY157">
        <f>AD157</f>
        <v>0</v>
      </c>
      <c r="CZ157">
        <f>AH157</f>
        <v>0</v>
      </c>
      <c r="DA157">
        <f>AL157</f>
        <v>1</v>
      </c>
      <c r="DB157">
        <v>0</v>
      </c>
    </row>
    <row r="158" spans="1:106" x14ac:dyDescent="0.2">
      <c r="A158">
        <f>ROW(Source!A268)</f>
        <v>268</v>
      </c>
      <c r="B158">
        <v>37598633</v>
      </c>
      <c r="C158">
        <v>37600331</v>
      </c>
      <c r="D158">
        <v>34187808</v>
      </c>
      <c r="E158">
        <v>1</v>
      </c>
      <c r="F158">
        <v>1</v>
      </c>
      <c r="G158">
        <v>15</v>
      </c>
      <c r="H158">
        <v>2</v>
      </c>
      <c r="I158" t="s">
        <v>309</v>
      </c>
      <c r="J158" t="s">
        <v>310</v>
      </c>
      <c r="K158" t="s">
        <v>311</v>
      </c>
      <c r="L158">
        <v>1368</v>
      </c>
      <c r="N158">
        <v>1011</v>
      </c>
      <c r="O158" t="s">
        <v>219</v>
      </c>
      <c r="P158" t="s">
        <v>219</v>
      </c>
      <c r="Q158">
        <v>1</v>
      </c>
      <c r="W158">
        <v>0</v>
      </c>
      <c r="X158">
        <v>-853369462</v>
      </c>
      <c r="Y158">
        <v>0.5</v>
      </c>
      <c r="AA158">
        <v>0</v>
      </c>
      <c r="AB158">
        <v>401.44</v>
      </c>
      <c r="AC158">
        <v>272.81</v>
      </c>
      <c r="AD158">
        <v>0</v>
      </c>
      <c r="AE158">
        <v>0</v>
      </c>
      <c r="AF158">
        <v>401.44</v>
      </c>
      <c r="AG158">
        <v>272.81</v>
      </c>
      <c r="AH158">
        <v>0</v>
      </c>
      <c r="AI158">
        <v>1</v>
      </c>
      <c r="AJ158">
        <v>1</v>
      </c>
      <c r="AK158">
        <v>1</v>
      </c>
      <c r="AL158">
        <v>1</v>
      </c>
      <c r="AN158">
        <v>0</v>
      </c>
      <c r="AO158">
        <v>1</v>
      </c>
      <c r="AP158">
        <v>0</v>
      </c>
      <c r="AQ158">
        <v>0</v>
      </c>
      <c r="AR158">
        <v>0</v>
      </c>
      <c r="AS158" t="s">
        <v>3</v>
      </c>
      <c r="AT158">
        <v>0.5</v>
      </c>
      <c r="AU158" t="s">
        <v>3</v>
      </c>
      <c r="AV158">
        <v>0</v>
      </c>
      <c r="AW158">
        <v>2</v>
      </c>
      <c r="AX158">
        <v>37602510</v>
      </c>
      <c r="AY158">
        <v>1</v>
      </c>
      <c r="AZ158">
        <v>0</v>
      </c>
      <c r="BA158">
        <v>158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Y158*Source!I268</f>
        <v>0.42849999999999999</v>
      </c>
      <c r="CY158">
        <f>AB158</f>
        <v>401.44</v>
      </c>
      <c r="CZ158">
        <f>AF158</f>
        <v>401.44</v>
      </c>
      <c r="DA158">
        <f>AJ158</f>
        <v>1</v>
      </c>
      <c r="DB158">
        <v>0</v>
      </c>
    </row>
    <row r="159" spans="1:106" x14ac:dyDescent="0.2">
      <c r="A159">
        <f>ROW(Source!A268)</f>
        <v>268</v>
      </c>
      <c r="B159">
        <v>37598633</v>
      </c>
      <c r="C159">
        <v>37600331</v>
      </c>
      <c r="D159">
        <v>34188225</v>
      </c>
      <c r="E159">
        <v>1</v>
      </c>
      <c r="F159">
        <v>1</v>
      </c>
      <c r="G159">
        <v>15</v>
      </c>
      <c r="H159">
        <v>2</v>
      </c>
      <c r="I159" t="s">
        <v>318</v>
      </c>
      <c r="J159" t="s">
        <v>319</v>
      </c>
      <c r="K159" t="s">
        <v>320</v>
      </c>
      <c r="L159">
        <v>1368</v>
      </c>
      <c r="N159">
        <v>1011</v>
      </c>
      <c r="O159" t="s">
        <v>219</v>
      </c>
      <c r="P159" t="s">
        <v>219</v>
      </c>
      <c r="Q159">
        <v>1</v>
      </c>
      <c r="W159">
        <v>0</v>
      </c>
      <c r="X159">
        <v>-418809971</v>
      </c>
      <c r="Y159">
        <v>0.5</v>
      </c>
      <c r="AA159">
        <v>0</v>
      </c>
      <c r="AB159">
        <v>342.24</v>
      </c>
      <c r="AC159">
        <v>296.26</v>
      </c>
      <c r="AD159">
        <v>0</v>
      </c>
      <c r="AE159">
        <v>0</v>
      </c>
      <c r="AF159">
        <v>342.24</v>
      </c>
      <c r="AG159">
        <v>296.26</v>
      </c>
      <c r="AH159">
        <v>0</v>
      </c>
      <c r="AI159">
        <v>1</v>
      </c>
      <c r="AJ159">
        <v>1</v>
      </c>
      <c r="AK159">
        <v>1</v>
      </c>
      <c r="AL159">
        <v>1</v>
      </c>
      <c r="AN159">
        <v>0</v>
      </c>
      <c r="AO159">
        <v>1</v>
      </c>
      <c r="AP159">
        <v>0</v>
      </c>
      <c r="AQ159">
        <v>0</v>
      </c>
      <c r="AR159">
        <v>0</v>
      </c>
      <c r="AS159" t="s">
        <v>3</v>
      </c>
      <c r="AT159">
        <v>0.5</v>
      </c>
      <c r="AU159" t="s">
        <v>3</v>
      </c>
      <c r="AV159">
        <v>0</v>
      </c>
      <c r="AW159">
        <v>2</v>
      </c>
      <c r="AX159">
        <v>37602511</v>
      </c>
      <c r="AY159">
        <v>1</v>
      </c>
      <c r="AZ159">
        <v>0</v>
      </c>
      <c r="BA159">
        <v>159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Y159*Source!I268</f>
        <v>0.42849999999999999</v>
      </c>
      <c r="CY159">
        <f>AB159</f>
        <v>342.24</v>
      </c>
      <c r="CZ159">
        <f>AF159</f>
        <v>342.24</v>
      </c>
      <c r="DA159">
        <f>AJ159</f>
        <v>1</v>
      </c>
      <c r="DB159">
        <v>0</v>
      </c>
    </row>
    <row r="160" spans="1:106" x14ac:dyDescent="0.2">
      <c r="A160">
        <f>ROW(Source!A268)</f>
        <v>268</v>
      </c>
      <c r="B160">
        <v>37598633</v>
      </c>
      <c r="C160">
        <v>37600331</v>
      </c>
      <c r="D160">
        <v>34190888</v>
      </c>
      <c r="E160">
        <v>1</v>
      </c>
      <c r="F160">
        <v>1</v>
      </c>
      <c r="G160">
        <v>15</v>
      </c>
      <c r="H160">
        <v>3</v>
      </c>
      <c r="I160" t="s">
        <v>327</v>
      </c>
      <c r="J160" t="s">
        <v>328</v>
      </c>
      <c r="K160" t="s">
        <v>329</v>
      </c>
      <c r="L160">
        <v>1346</v>
      </c>
      <c r="N160">
        <v>1009</v>
      </c>
      <c r="O160" t="s">
        <v>330</v>
      </c>
      <c r="P160" t="s">
        <v>330</v>
      </c>
      <c r="Q160">
        <v>1</v>
      </c>
      <c r="W160">
        <v>0</v>
      </c>
      <c r="X160">
        <v>-1646851010</v>
      </c>
      <c r="Y160">
        <v>147</v>
      </c>
      <c r="AA160">
        <v>20.03</v>
      </c>
      <c r="AB160">
        <v>0</v>
      </c>
      <c r="AC160">
        <v>0</v>
      </c>
      <c r="AD160">
        <v>0</v>
      </c>
      <c r="AE160">
        <v>20.03</v>
      </c>
      <c r="AF160">
        <v>0</v>
      </c>
      <c r="AG160">
        <v>0</v>
      </c>
      <c r="AH160">
        <v>0</v>
      </c>
      <c r="AI160">
        <v>1</v>
      </c>
      <c r="AJ160">
        <v>1</v>
      </c>
      <c r="AK160">
        <v>1</v>
      </c>
      <c r="AL160">
        <v>1</v>
      </c>
      <c r="AN160">
        <v>0</v>
      </c>
      <c r="AO160">
        <v>1</v>
      </c>
      <c r="AP160">
        <v>1</v>
      </c>
      <c r="AQ160">
        <v>0</v>
      </c>
      <c r="AR160">
        <v>0</v>
      </c>
      <c r="AS160" t="s">
        <v>3</v>
      </c>
      <c r="AT160">
        <v>147</v>
      </c>
      <c r="AU160" t="s">
        <v>3</v>
      </c>
      <c r="AV160">
        <v>0</v>
      </c>
      <c r="AW160">
        <v>2</v>
      </c>
      <c r="AX160">
        <v>37602512</v>
      </c>
      <c r="AY160">
        <v>1</v>
      </c>
      <c r="AZ160">
        <v>0</v>
      </c>
      <c r="BA160">
        <v>160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Y160*Source!I268</f>
        <v>125.979</v>
      </c>
      <c r="CY160">
        <f>AA160</f>
        <v>20.03</v>
      </c>
      <c r="CZ160">
        <f>AE160</f>
        <v>20.03</v>
      </c>
      <c r="DA160">
        <f>AI160</f>
        <v>1</v>
      </c>
      <c r="DB160">
        <v>0</v>
      </c>
    </row>
    <row r="161" spans="1:106" x14ac:dyDescent="0.2">
      <c r="A161">
        <f>ROW(Source!A268)</f>
        <v>268</v>
      </c>
      <c r="B161">
        <v>37598633</v>
      </c>
      <c r="C161">
        <v>37600331</v>
      </c>
      <c r="D161">
        <v>34190895</v>
      </c>
      <c r="E161">
        <v>1</v>
      </c>
      <c r="F161">
        <v>1</v>
      </c>
      <c r="G161">
        <v>15</v>
      </c>
      <c r="H161">
        <v>3</v>
      </c>
      <c r="I161" t="s">
        <v>331</v>
      </c>
      <c r="J161" t="s">
        <v>332</v>
      </c>
      <c r="K161" t="s">
        <v>333</v>
      </c>
      <c r="L161">
        <v>1346</v>
      </c>
      <c r="N161">
        <v>1009</v>
      </c>
      <c r="O161" t="s">
        <v>330</v>
      </c>
      <c r="P161" t="s">
        <v>330</v>
      </c>
      <c r="Q161">
        <v>1</v>
      </c>
      <c r="W161">
        <v>0</v>
      </c>
      <c r="X161">
        <v>1601901178</v>
      </c>
      <c r="Y161">
        <v>42</v>
      </c>
      <c r="AA161">
        <v>175.18</v>
      </c>
      <c r="AB161">
        <v>0</v>
      </c>
      <c r="AC161">
        <v>0</v>
      </c>
      <c r="AD161">
        <v>0</v>
      </c>
      <c r="AE161">
        <v>175.18</v>
      </c>
      <c r="AF161">
        <v>0</v>
      </c>
      <c r="AG161">
        <v>0</v>
      </c>
      <c r="AH161">
        <v>0</v>
      </c>
      <c r="AI161">
        <v>1</v>
      </c>
      <c r="AJ161">
        <v>1</v>
      </c>
      <c r="AK161">
        <v>1</v>
      </c>
      <c r="AL161">
        <v>1</v>
      </c>
      <c r="AN161">
        <v>0</v>
      </c>
      <c r="AO161">
        <v>1</v>
      </c>
      <c r="AP161">
        <v>1</v>
      </c>
      <c r="AQ161">
        <v>0</v>
      </c>
      <c r="AR161">
        <v>0</v>
      </c>
      <c r="AS161" t="s">
        <v>3</v>
      </c>
      <c r="AT161">
        <v>42</v>
      </c>
      <c r="AU161" t="s">
        <v>3</v>
      </c>
      <c r="AV161">
        <v>0</v>
      </c>
      <c r="AW161">
        <v>2</v>
      </c>
      <c r="AX161">
        <v>37602513</v>
      </c>
      <c r="AY161">
        <v>1</v>
      </c>
      <c r="AZ161">
        <v>0</v>
      </c>
      <c r="BA161">
        <v>161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Y161*Source!I268</f>
        <v>35.994</v>
      </c>
      <c r="CY161">
        <f>AA161</f>
        <v>175.18</v>
      </c>
      <c r="CZ161">
        <f>AE161</f>
        <v>175.18</v>
      </c>
      <c r="DA161">
        <f>AI161</f>
        <v>1</v>
      </c>
      <c r="DB161">
        <v>0</v>
      </c>
    </row>
    <row r="162" spans="1:106" x14ac:dyDescent="0.2">
      <c r="A162">
        <f>ROW(Source!A268)</f>
        <v>268</v>
      </c>
      <c r="B162">
        <v>37598633</v>
      </c>
      <c r="C162">
        <v>37600331</v>
      </c>
      <c r="D162">
        <v>34188917</v>
      </c>
      <c r="E162">
        <v>1</v>
      </c>
      <c r="F162">
        <v>1</v>
      </c>
      <c r="G162">
        <v>15</v>
      </c>
      <c r="H162">
        <v>3</v>
      </c>
      <c r="I162" t="s">
        <v>334</v>
      </c>
      <c r="J162" t="s">
        <v>335</v>
      </c>
      <c r="K162" t="s">
        <v>336</v>
      </c>
      <c r="L162">
        <v>1348</v>
      </c>
      <c r="N162">
        <v>1009</v>
      </c>
      <c r="O162" t="s">
        <v>29</v>
      </c>
      <c r="P162" t="s">
        <v>29</v>
      </c>
      <c r="Q162">
        <v>1000</v>
      </c>
      <c r="W162">
        <v>0</v>
      </c>
      <c r="X162">
        <v>-946191126</v>
      </c>
      <c r="Y162">
        <v>1.0500000000000001E-2</v>
      </c>
      <c r="AA162">
        <v>360260.32</v>
      </c>
      <c r="AB162">
        <v>0</v>
      </c>
      <c r="AC162">
        <v>0</v>
      </c>
      <c r="AD162">
        <v>0</v>
      </c>
      <c r="AE162">
        <v>360260.32</v>
      </c>
      <c r="AF162">
        <v>0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1</v>
      </c>
      <c r="AQ162">
        <v>0</v>
      </c>
      <c r="AR162">
        <v>0</v>
      </c>
      <c r="AS162" t="s">
        <v>3</v>
      </c>
      <c r="AT162">
        <v>1.0500000000000001E-2</v>
      </c>
      <c r="AU162" t="s">
        <v>3</v>
      </c>
      <c r="AV162">
        <v>0</v>
      </c>
      <c r="AW162">
        <v>2</v>
      </c>
      <c r="AX162">
        <v>37602514</v>
      </c>
      <c r="AY162">
        <v>1</v>
      </c>
      <c r="AZ162">
        <v>0</v>
      </c>
      <c r="BA162">
        <v>162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Y162*Source!I268</f>
        <v>8.9984999999999996E-3</v>
      </c>
      <c r="CY162">
        <f>AA162</f>
        <v>360260.32</v>
      </c>
      <c r="CZ162">
        <f>AE162</f>
        <v>360260.32</v>
      </c>
      <c r="DA162">
        <f>AI162</f>
        <v>1</v>
      </c>
      <c r="DB162">
        <v>0</v>
      </c>
    </row>
    <row r="163" spans="1:106" x14ac:dyDescent="0.2">
      <c r="A163">
        <f>ROW(Source!A269)</f>
        <v>269</v>
      </c>
      <c r="B163">
        <v>37598633</v>
      </c>
      <c r="C163">
        <v>37600344</v>
      </c>
      <c r="D163">
        <v>34176775</v>
      </c>
      <c r="E163">
        <v>15</v>
      </c>
      <c r="F163">
        <v>1</v>
      </c>
      <c r="G163">
        <v>15</v>
      </c>
      <c r="H163">
        <v>1</v>
      </c>
      <c r="I163" t="s">
        <v>213</v>
      </c>
      <c r="J163" t="s">
        <v>3</v>
      </c>
      <c r="K163" t="s">
        <v>214</v>
      </c>
      <c r="L163">
        <v>1191</v>
      </c>
      <c r="N163">
        <v>1013</v>
      </c>
      <c r="O163" t="s">
        <v>215</v>
      </c>
      <c r="P163" t="s">
        <v>215</v>
      </c>
      <c r="Q163">
        <v>1</v>
      </c>
      <c r="W163">
        <v>0</v>
      </c>
      <c r="X163">
        <v>476480486</v>
      </c>
      <c r="Y163">
        <v>0.06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0</v>
      </c>
      <c r="AQ163">
        <v>0</v>
      </c>
      <c r="AR163">
        <v>0</v>
      </c>
      <c r="AS163" t="s">
        <v>3</v>
      </c>
      <c r="AT163">
        <v>0.06</v>
      </c>
      <c r="AU163" t="s">
        <v>3</v>
      </c>
      <c r="AV163">
        <v>1</v>
      </c>
      <c r="AW163">
        <v>2</v>
      </c>
      <c r="AX163">
        <v>37602515</v>
      </c>
      <c r="AY163">
        <v>1</v>
      </c>
      <c r="AZ163">
        <v>0</v>
      </c>
      <c r="BA163">
        <v>163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Y163*Source!I269</f>
        <v>1.2</v>
      </c>
      <c r="CY163">
        <f>AD163</f>
        <v>0</v>
      </c>
      <c r="CZ163">
        <f>AH163</f>
        <v>0</v>
      </c>
      <c r="DA163">
        <f>AL163</f>
        <v>1</v>
      </c>
      <c r="DB163">
        <v>0</v>
      </c>
    </row>
    <row r="164" spans="1:106" x14ac:dyDescent="0.2">
      <c r="A164">
        <f>ROW(Source!A269)</f>
        <v>269</v>
      </c>
      <c r="B164">
        <v>37598633</v>
      </c>
      <c r="C164">
        <v>37600344</v>
      </c>
      <c r="D164">
        <v>34188259</v>
      </c>
      <c r="E164">
        <v>1</v>
      </c>
      <c r="F164">
        <v>1</v>
      </c>
      <c r="G164">
        <v>15</v>
      </c>
      <c r="H164">
        <v>2</v>
      </c>
      <c r="I164" t="s">
        <v>337</v>
      </c>
      <c r="J164" t="s">
        <v>338</v>
      </c>
      <c r="K164" t="s">
        <v>339</v>
      </c>
      <c r="L164">
        <v>1368</v>
      </c>
      <c r="N164">
        <v>1011</v>
      </c>
      <c r="O164" t="s">
        <v>219</v>
      </c>
      <c r="P164" t="s">
        <v>219</v>
      </c>
      <c r="Q164">
        <v>1</v>
      </c>
      <c r="W164">
        <v>0</v>
      </c>
      <c r="X164">
        <v>-1196398523</v>
      </c>
      <c r="Y164">
        <v>0.01</v>
      </c>
      <c r="AA164">
        <v>0</v>
      </c>
      <c r="AB164">
        <v>1756.99</v>
      </c>
      <c r="AC164">
        <v>313.11</v>
      </c>
      <c r="AD164">
        <v>0</v>
      </c>
      <c r="AE164">
        <v>0</v>
      </c>
      <c r="AF164">
        <v>1756.99</v>
      </c>
      <c r="AG164">
        <v>313.11</v>
      </c>
      <c r="AH164">
        <v>0</v>
      </c>
      <c r="AI164">
        <v>1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S164" t="s">
        <v>3</v>
      </c>
      <c r="AT164">
        <v>0.01</v>
      </c>
      <c r="AU164" t="s">
        <v>3</v>
      </c>
      <c r="AV164">
        <v>0</v>
      </c>
      <c r="AW164">
        <v>2</v>
      </c>
      <c r="AX164">
        <v>37602516</v>
      </c>
      <c r="AY164">
        <v>1</v>
      </c>
      <c r="AZ164">
        <v>0</v>
      </c>
      <c r="BA164">
        <v>164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Y164*Source!I269</f>
        <v>0.2</v>
      </c>
      <c r="CY164">
        <f>AB164</f>
        <v>1756.99</v>
      </c>
      <c r="CZ164">
        <f>AF164</f>
        <v>1756.99</v>
      </c>
      <c r="DA164">
        <f>AJ164</f>
        <v>1</v>
      </c>
      <c r="DB164">
        <v>0</v>
      </c>
    </row>
    <row r="165" spans="1:106" x14ac:dyDescent="0.2">
      <c r="A165">
        <f>ROW(Source!A269)</f>
        <v>269</v>
      </c>
      <c r="B165">
        <v>37598633</v>
      </c>
      <c r="C165">
        <v>37600344</v>
      </c>
      <c r="D165">
        <v>34189010</v>
      </c>
      <c r="E165">
        <v>1</v>
      </c>
      <c r="F165">
        <v>1</v>
      </c>
      <c r="G165">
        <v>15</v>
      </c>
      <c r="H165">
        <v>3</v>
      </c>
      <c r="I165" t="s">
        <v>340</v>
      </c>
      <c r="J165" t="s">
        <v>341</v>
      </c>
      <c r="K165" t="s">
        <v>342</v>
      </c>
      <c r="L165">
        <v>1348</v>
      </c>
      <c r="N165">
        <v>1009</v>
      </c>
      <c r="O165" t="s">
        <v>29</v>
      </c>
      <c r="P165" t="s">
        <v>29</v>
      </c>
      <c r="Q165">
        <v>1000</v>
      </c>
      <c r="W165">
        <v>0</v>
      </c>
      <c r="X165">
        <v>704671994</v>
      </c>
      <c r="Y165">
        <v>5.2999999999999998E-4</v>
      </c>
      <c r="AA165">
        <v>84127.039999999994</v>
      </c>
      <c r="AB165">
        <v>0</v>
      </c>
      <c r="AC165">
        <v>0</v>
      </c>
      <c r="AD165">
        <v>0</v>
      </c>
      <c r="AE165">
        <v>84127.039999999994</v>
      </c>
      <c r="AF165">
        <v>0</v>
      </c>
      <c r="AG165">
        <v>0</v>
      </c>
      <c r="AH165">
        <v>0</v>
      </c>
      <c r="AI165">
        <v>1</v>
      </c>
      <c r="AJ165">
        <v>1</v>
      </c>
      <c r="AK165">
        <v>1</v>
      </c>
      <c r="AL165">
        <v>1</v>
      </c>
      <c r="AN165">
        <v>0</v>
      </c>
      <c r="AO165">
        <v>1</v>
      </c>
      <c r="AP165">
        <v>1</v>
      </c>
      <c r="AQ165">
        <v>0</v>
      </c>
      <c r="AR165">
        <v>0</v>
      </c>
      <c r="AS165" t="s">
        <v>3</v>
      </c>
      <c r="AT165">
        <v>5.2999999999999998E-4</v>
      </c>
      <c r="AU165" t="s">
        <v>3</v>
      </c>
      <c r="AV165">
        <v>0</v>
      </c>
      <c r="AW165">
        <v>2</v>
      </c>
      <c r="AX165">
        <v>37602517</v>
      </c>
      <c r="AY165">
        <v>1</v>
      </c>
      <c r="AZ165">
        <v>0</v>
      </c>
      <c r="BA165">
        <v>165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Y165*Source!I269</f>
        <v>1.06E-2</v>
      </c>
      <c r="CY165">
        <f>AA165</f>
        <v>84127.039999999994</v>
      </c>
      <c r="CZ165">
        <f>AE165</f>
        <v>84127.039999999994</v>
      </c>
      <c r="DA165">
        <f>AI165</f>
        <v>1</v>
      </c>
      <c r="DB165">
        <v>0</v>
      </c>
    </row>
    <row r="166" spans="1:106" x14ac:dyDescent="0.2">
      <c r="A166">
        <f>ROW(Source!A304)</f>
        <v>304</v>
      </c>
      <c r="B166">
        <v>37598633</v>
      </c>
      <c r="C166">
        <v>37600351</v>
      </c>
      <c r="D166">
        <v>34176775</v>
      </c>
      <c r="E166">
        <v>15</v>
      </c>
      <c r="F166">
        <v>1</v>
      </c>
      <c r="G166">
        <v>15</v>
      </c>
      <c r="H166">
        <v>1</v>
      </c>
      <c r="I166" t="s">
        <v>213</v>
      </c>
      <c r="J166" t="s">
        <v>3</v>
      </c>
      <c r="K166" t="s">
        <v>214</v>
      </c>
      <c r="L166">
        <v>1191</v>
      </c>
      <c r="N166">
        <v>1013</v>
      </c>
      <c r="O166" t="s">
        <v>215</v>
      </c>
      <c r="P166" t="s">
        <v>215</v>
      </c>
      <c r="Q166">
        <v>1</v>
      </c>
      <c r="W166">
        <v>0</v>
      </c>
      <c r="X166">
        <v>476480486</v>
      </c>
      <c r="Y166">
        <v>1.05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1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0</v>
      </c>
      <c r="AQ166">
        <v>0</v>
      </c>
      <c r="AR166">
        <v>0</v>
      </c>
      <c r="AS166" t="s">
        <v>3</v>
      </c>
      <c r="AT166">
        <v>1.05</v>
      </c>
      <c r="AU166" t="s">
        <v>3</v>
      </c>
      <c r="AV166">
        <v>1</v>
      </c>
      <c r="AW166">
        <v>2</v>
      </c>
      <c r="AX166">
        <v>37602518</v>
      </c>
      <c r="AY166">
        <v>1</v>
      </c>
      <c r="AZ166">
        <v>0</v>
      </c>
      <c r="BA166">
        <v>166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Y166*Source!I304</f>
        <v>4.1542200000000005</v>
      </c>
      <c r="CY166">
        <f>AD166</f>
        <v>0</v>
      </c>
      <c r="CZ166">
        <f>AH166</f>
        <v>0</v>
      </c>
      <c r="DA166">
        <f>AL166</f>
        <v>1</v>
      </c>
      <c r="DB166">
        <v>0</v>
      </c>
    </row>
    <row r="167" spans="1:106" x14ac:dyDescent="0.2">
      <c r="A167">
        <f>ROW(Source!A304)</f>
        <v>304</v>
      </c>
      <c r="B167">
        <v>37598633</v>
      </c>
      <c r="C167">
        <v>37600351</v>
      </c>
      <c r="D167">
        <v>34188481</v>
      </c>
      <c r="E167">
        <v>1</v>
      </c>
      <c r="F167">
        <v>1</v>
      </c>
      <c r="G167">
        <v>15</v>
      </c>
      <c r="H167">
        <v>2</v>
      </c>
      <c r="I167" t="s">
        <v>274</v>
      </c>
      <c r="J167" t="s">
        <v>275</v>
      </c>
      <c r="K167" t="s">
        <v>276</v>
      </c>
      <c r="L167">
        <v>1368</v>
      </c>
      <c r="N167">
        <v>1011</v>
      </c>
      <c r="O167" t="s">
        <v>219</v>
      </c>
      <c r="P167" t="s">
        <v>219</v>
      </c>
      <c r="Q167">
        <v>1</v>
      </c>
      <c r="W167">
        <v>0</v>
      </c>
      <c r="X167">
        <v>219968779</v>
      </c>
      <c r="Y167">
        <v>0.82</v>
      </c>
      <c r="AA167">
        <v>0</v>
      </c>
      <c r="AB167">
        <v>770.83</v>
      </c>
      <c r="AC167">
        <v>421.3</v>
      </c>
      <c r="AD167">
        <v>0</v>
      </c>
      <c r="AE167">
        <v>0</v>
      </c>
      <c r="AF167">
        <v>770.83</v>
      </c>
      <c r="AG167">
        <v>421.3</v>
      </c>
      <c r="AH167">
        <v>0</v>
      </c>
      <c r="AI167">
        <v>1</v>
      </c>
      <c r="AJ167">
        <v>1</v>
      </c>
      <c r="AK167">
        <v>1</v>
      </c>
      <c r="AL167">
        <v>1</v>
      </c>
      <c r="AN167">
        <v>0</v>
      </c>
      <c r="AO167">
        <v>1</v>
      </c>
      <c r="AP167">
        <v>0</v>
      </c>
      <c r="AQ167">
        <v>0</v>
      </c>
      <c r="AR167">
        <v>0</v>
      </c>
      <c r="AS167" t="s">
        <v>3</v>
      </c>
      <c r="AT167">
        <v>0.82</v>
      </c>
      <c r="AU167" t="s">
        <v>3</v>
      </c>
      <c r="AV167">
        <v>0</v>
      </c>
      <c r="AW167">
        <v>2</v>
      </c>
      <c r="AX167">
        <v>37602519</v>
      </c>
      <c r="AY167">
        <v>1</v>
      </c>
      <c r="AZ167">
        <v>0</v>
      </c>
      <c r="BA167">
        <v>167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Y167*Source!I304</f>
        <v>3.2442479999999998</v>
      </c>
      <c r="CY167">
        <f>AB167</f>
        <v>770.83</v>
      </c>
      <c r="CZ167">
        <f>AF167</f>
        <v>770.83</v>
      </c>
      <c r="DA167">
        <f>AJ167</f>
        <v>1</v>
      </c>
      <c r="DB167">
        <v>0</v>
      </c>
    </row>
    <row r="168" spans="1:106" x14ac:dyDescent="0.2">
      <c r="A168">
        <f>ROW(Source!A304)</f>
        <v>304</v>
      </c>
      <c r="B168">
        <v>37598633</v>
      </c>
      <c r="C168">
        <v>37600351</v>
      </c>
      <c r="D168">
        <v>34188505</v>
      </c>
      <c r="E168">
        <v>1</v>
      </c>
      <c r="F168">
        <v>1</v>
      </c>
      <c r="G168">
        <v>15</v>
      </c>
      <c r="H168">
        <v>2</v>
      </c>
      <c r="I168" t="s">
        <v>277</v>
      </c>
      <c r="J168" t="s">
        <v>278</v>
      </c>
      <c r="K168" t="s">
        <v>279</v>
      </c>
      <c r="L168">
        <v>1368</v>
      </c>
      <c r="N168">
        <v>1011</v>
      </c>
      <c r="O168" t="s">
        <v>219</v>
      </c>
      <c r="P168" t="s">
        <v>219</v>
      </c>
      <c r="Q168">
        <v>1</v>
      </c>
      <c r="W168">
        <v>0</v>
      </c>
      <c r="X168">
        <v>-335375421</v>
      </c>
      <c r="Y168">
        <v>3.54</v>
      </c>
      <c r="AA168">
        <v>0</v>
      </c>
      <c r="AB168">
        <v>1217.8599999999999</v>
      </c>
      <c r="AC168">
        <v>470.88</v>
      </c>
      <c r="AD168">
        <v>0</v>
      </c>
      <c r="AE168">
        <v>0</v>
      </c>
      <c r="AF168">
        <v>1217.8599999999999</v>
      </c>
      <c r="AG168">
        <v>470.88</v>
      </c>
      <c r="AH168">
        <v>0</v>
      </c>
      <c r="AI168">
        <v>1</v>
      </c>
      <c r="AJ168">
        <v>1</v>
      </c>
      <c r="AK168">
        <v>1</v>
      </c>
      <c r="AL168">
        <v>1</v>
      </c>
      <c r="AN168">
        <v>0</v>
      </c>
      <c r="AO168">
        <v>1</v>
      </c>
      <c r="AP168">
        <v>0</v>
      </c>
      <c r="AQ168">
        <v>0</v>
      </c>
      <c r="AR168">
        <v>0</v>
      </c>
      <c r="AS168" t="s">
        <v>3</v>
      </c>
      <c r="AT168">
        <v>3.54</v>
      </c>
      <c r="AU168" t="s">
        <v>3</v>
      </c>
      <c r="AV168">
        <v>0</v>
      </c>
      <c r="AW168">
        <v>2</v>
      </c>
      <c r="AX168">
        <v>37602520</v>
      </c>
      <c r="AY168">
        <v>1</v>
      </c>
      <c r="AZ168">
        <v>0</v>
      </c>
      <c r="BA168">
        <v>168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Y168*Source!I304</f>
        <v>14.005656</v>
      </c>
      <c r="CY168">
        <f>AB168</f>
        <v>1217.8599999999999</v>
      </c>
      <c r="CZ168">
        <f>AF168</f>
        <v>1217.8599999999999</v>
      </c>
      <c r="DA168">
        <f>AJ168</f>
        <v>1</v>
      </c>
      <c r="DB168">
        <v>0</v>
      </c>
    </row>
    <row r="169" spans="1:106" x14ac:dyDescent="0.2">
      <c r="A169">
        <f>ROW(Source!A305)</f>
        <v>305</v>
      </c>
      <c r="B169">
        <v>37598633</v>
      </c>
      <c r="C169">
        <v>37600358</v>
      </c>
      <c r="D169">
        <v>34187830</v>
      </c>
      <c r="E169">
        <v>1</v>
      </c>
      <c r="F169">
        <v>1</v>
      </c>
      <c r="G169">
        <v>15</v>
      </c>
      <c r="H169">
        <v>2</v>
      </c>
      <c r="I169" t="s">
        <v>235</v>
      </c>
      <c r="J169" t="s">
        <v>236</v>
      </c>
      <c r="K169" t="s">
        <v>237</v>
      </c>
      <c r="L169">
        <v>1368</v>
      </c>
      <c r="N169">
        <v>1011</v>
      </c>
      <c r="O169" t="s">
        <v>219</v>
      </c>
      <c r="P169" t="s">
        <v>219</v>
      </c>
      <c r="Q169">
        <v>1</v>
      </c>
      <c r="W169">
        <v>0</v>
      </c>
      <c r="X169">
        <v>-1411098748</v>
      </c>
      <c r="Y169">
        <v>3.1E-2</v>
      </c>
      <c r="AA169">
        <v>0</v>
      </c>
      <c r="AB169">
        <v>939.75</v>
      </c>
      <c r="AC169">
        <v>473.4</v>
      </c>
      <c r="AD169">
        <v>0</v>
      </c>
      <c r="AE169">
        <v>0</v>
      </c>
      <c r="AF169">
        <v>939.75</v>
      </c>
      <c r="AG169">
        <v>473.4</v>
      </c>
      <c r="AH169">
        <v>0</v>
      </c>
      <c r="AI169">
        <v>1</v>
      </c>
      <c r="AJ169">
        <v>1</v>
      </c>
      <c r="AK169">
        <v>1</v>
      </c>
      <c r="AL169">
        <v>1</v>
      </c>
      <c r="AN169">
        <v>0</v>
      </c>
      <c r="AO169">
        <v>1</v>
      </c>
      <c r="AP169">
        <v>0</v>
      </c>
      <c r="AQ169">
        <v>0</v>
      </c>
      <c r="AR169">
        <v>0</v>
      </c>
      <c r="AS169" t="s">
        <v>3</v>
      </c>
      <c r="AT169">
        <v>3.1E-2</v>
      </c>
      <c r="AU169" t="s">
        <v>3</v>
      </c>
      <c r="AV169">
        <v>0</v>
      </c>
      <c r="AW169">
        <v>2</v>
      </c>
      <c r="AX169">
        <v>37602521</v>
      </c>
      <c r="AY169">
        <v>1</v>
      </c>
      <c r="AZ169">
        <v>0</v>
      </c>
      <c r="BA169">
        <v>169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Y169*Source!I305</f>
        <v>3.8931970000000002</v>
      </c>
      <c r="CY169">
        <f>AB169</f>
        <v>939.75</v>
      </c>
      <c r="CZ169">
        <f>AF169</f>
        <v>939.75</v>
      </c>
      <c r="DA169">
        <f>AJ169</f>
        <v>1</v>
      </c>
      <c r="DB169">
        <v>0</v>
      </c>
    </row>
    <row r="170" spans="1:106" x14ac:dyDescent="0.2">
      <c r="A170">
        <f>ROW(Source!A306)</f>
        <v>306</v>
      </c>
      <c r="B170">
        <v>37598633</v>
      </c>
      <c r="C170">
        <v>37600361</v>
      </c>
      <c r="D170">
        <v>34187830</v>
      </c>
      <c r="E170">
        <v>1</v>
      </c>
      <c r="F170">
        <v>1</v>
      </c>
      <c r="G170">
        <v>15</v>
      </c>
      <c r="H170">
        <v>2</v>
      </c>
      <c r="I170" t="s">
        <v>235</v>
      </c>
      <c r="J170" t="s">
        <v>236</v>
      </c>
      <c r="K170" t="s">
        <v>237</v>
      </c>
      <c r="L170">
        <v>1368</v>
      </c>
      <c r="N170">
        <v>1011</v>
      </c>
      <c r="O170" t="s">
        <v>219</v>
      </c>
      <c r="P170" t="s">
        <v>219</v>
      </c>
      <c r="Q170">
        <v>1</v>
      </c>
      <c r="W170">
        <v>0</v>
      </c>
      <c r="X170">
        <v>-1411098748</v>
      </c>
      <c r="Y170">
        <v>0.26</v>
      </c>
      <c r="AA170">
        <v>0</v>
      </c>
      <c r="AB170">
        <v>939.75</v>
      </c>
      <c r="AC170">
        <v>473.4</v>
      </c>
      <c r="AD170">
        <v>0</v>
      </c>
      <c r="AE170">
        <v>0</v>
      </c>
      <c r="AF170">
        <v>939.75</v>
      </c>
      <c r="AG170">
        <v>473.4</v>
      </c>
      <c r="AH170">
        <v>0</v>
      </c>
      <c r="AI170">
        <v>1</v>
      </c>
      <c r="AJ170">
        <v>1</v>
      </c>
      <c r="AK170">
        <v>1</v>
      </c>
      <c r="AL170">
        <v>1</v>
      </c>
      <c r="AN170">
        <v>0</v>
      </c>
      <c r="AO170">
        <v>1</v>
      </c>
      <c r="AP170">
        <v>1</v>
      </c>
      <c r="AQ170">
        <v>0</v>
      </c>
      <c r="AR170">
        <v>0</v>
      </c>
      <c r="AS170" t="s">
        <v>3</v>
      </c>
      <c r="AT170">
        <v>0.01</v>
      </c>
      <c r="AU170" t="s">
        <v>121</v>
      </c>
      <c r="AV170">
        <v>0</v>
      </c>
      <c r="AW170">
        <v>2</v>
      </c>
      <c r="AX170">
        <v>37602522</v>
      </c>
      <c r="AY170">
        <v>1</v>
      </c>
      <c r="AZ170">
        <v>0</v>
      </c>
      <c r="BA170">
        <v>170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Y170*Source!I306</f>
        <v>32.652619999999999</v>
      </c>
      <c r="CY170">
        <f>AB170</f>
        <v>939.75</v>
      </c>
      <c r="CZ170">
        <f>AF170</f>
        <v>939.75</v>
      </c>
      <c r="DA170">
        <f>AJ170</f>
        <v>1</v>
      </c>
      <c r="DB170">
        <v>0</v>
      </c>
    </row>
    <row r="171" spans="1:106" x14ac:dyDescent="0.2">
      <c r="A171">
        <f>ROW(Source!A307)</f>
        <v>307</v>
      </c>
      <c r="B171">
        <v>37598633</v>
      </c>
      <c r="C171">
        <v>37600364</v>
      </c>
      <c r="D171">
        <v>34176775</v>
      </c>
      <c r="E171">
        <v>15</v>
      </c>
      <c r="F171">
        <v>1</v>
      </c>
      <c r="G171">
        <v>15</v>
      </c>
      <c r="H171">
        <v>1</v>
      </c>
      <c r="I171" t="s">
        <v>213</v>
      </c>
      <c r="J171" t="s">
        <v>3</v>
      </c>
      <c r="K171" t="s">
        <v>214</v>
      </c>
      <c r="L171">
        <v>1191</v>
      </c>
      <c r="N171">
        <v>1013</v>
      </c>
      <c r="O171" t="s">
        <v>215</v>
      </c>
      <c r="P171" t="s">
        <v>215</v>
      </c>
      <c r="Q171">
        <v>1</v>
      </c>
      <c r="W171">
        <v>0</v>
      </c>
      <c r="X171">
        <v>476480486</v>
      </c>
      <c r="Y171">
        <v>16.559999999999999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1</v>
      </c>
      <c r="AJ171">
        <v>1</v>
      </c>
      <c r="AK171">
        <v>1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S171" t="s">
        <v>3</v>
      </c>
      <c r="AT171">
        <v>16.559999999999999</v>
      </c>
      <c r="AU171" t="s">
        <v>3</v>
      </c>
      <c r="AV171">
        <v>1</v>
      </c>
      <c r="AW171">
        <v>2</v>
      </c>
      <c r="AX171">
        <v>37602523</v>
      </c>
      <c r="AY171">
        <v>1</v>
      </c>
      <c r="AZ171">
        <v>0</v>
      </c>
      <c r="BA171">
        <v>171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Y171*Source!I307</f>
        <v>18.199439999999999</v>
      </c>
      <c r="CY171">
        <f>AD171</f>
        <v>0</v>
      </c>
      <c r="CZ171">
        <f>AH171</f>
        <v>0</v>
      </c>
      <c r="DA171">
        <f>AL171</f>
        <v>1</v>
      </c>
      <c r="DB171">
        <v>0</v>
      </c>
    </row>
    <row r="172" spans="1:106" x14ac:dyDescent="0.2">
      <c r="A172">
        <f>ROW(Source!A307)</f>
        <v>307</v>
      </c>
      <c r="B172">
        <v>37598633</v>
      </c>
      <c r="C172">
        <v>37600364</v>
      </c>
      <c r="D172">
        <v>34188463</v>
      </c>
      <c r="E172">
        <v>1</v>
      </c>
      <c r="F172">
        <v>1</v>
      </c>
      <c r="G172">
        <v>15</v>
      </c>
      <c r="H172">
        <v>2</v>
      </c>
      <c r="I172" t="s">
        <v>226</v>
      </c>
      <c r="J172" t="s">
        <v>227</v>
      </c>
      <c r="K172" t="s">
        <v>228</v>
      </c>
      <c r="L172">
        <v>1368</v>
      </c>
      <c r="N172">
        <v>1011</v>
      </c>
      <c r="O172" t="s">
        <v>219</v>
      </c>
      <c r="P172" t="s">
        <v>219</v>
      </c>
      <c r="Q172">
        <v>1</v>
      </c>
      <c r="W172">
        <v>0</v>
      </c>
      <c r="X172">
        <v>1482077759</v>
      </c>
      <c r="Y172">
        <v>2.08</v>
      </c>
      <c r="AA172">
        <v>0</v>
      </c>
      <c r="AB172">
        <v>936.41</v>
      </c>
      <c r="AC172">
        <v>403.45</v>
      </c>
      <c r="AD172">
        <v>0</v>
      </c>
      <c r="AE172">
        <v>0</v>
      </c>
      <c r="AF172">
        <v>936.41</v>
      </c>
      <c r="AG172">
        <v>403.45</v>
      </c>
      <c r="AH172">
        <v>0</v>
      </c>
      <c r="AI172">
        <v>1</v>
      </c>
      <c r="AJ172">
        <v>1</v>
      </c>
      <c r="AK172">
        <v>1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S172" t="s">
        <v>3</v>
      </c>
      <c r="AT172">
        <v>2.08</v>
      </c>
      <c r="AU172" t="s">
        <v>3</v>
      </c>
      <c r="AV172">
        <v>0</v>
      </c>
      <c r="AW172">
        <v>2</v>
      </c>
      <c r="AX172">
        <v>37602524</v>
      </c>
      <c r="AY172">
        <v>1</v>
      </c>
      <c r="AZ172">
        <v>0</v>
      </c>
      <c r="BA172">
        <v>172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Y172*Source!I307</f>
        <v>2.28592</v>
      </c>
      <c r="CY172">
        <f>AB172</f>
        <v>936.41</v>
      </c>
      <c r="CZ172">
        <f>AF172</f>
        <v>936.41</v>
      </c>
      <c r="DA172">
        <f>AJ172</f>
        <v>1</v>
      </c>
      <c r="DB172">
        <v>0</v>
      </c>
    </row>
    <row r="173" spans="1:106" x14ac:dyDescent="0.2">
      <c r="A173">
        <f>ROW(Source!A307)</f>
        <v>307</v>
      </c>
      <c r="B173">
        <v>37598633</v>
      </c>
      <c r="C173">
        <v>37600364</v>
      </c>
      <c r="D173">
        <v>34188306</v>
      </c>
      <c r="E173">
        <v>1</v>
      </c>
      <c r="F173">
        <v>1</v>
      </c>
      <c r="G173">
        <v>15</v>
      </c>
      <c r="H173">
        <v>2</v>
      </c>
      <c r="I173" t="s">
        <v>238</v>
      </c>
      <c r="J173" t="s">
        <v>239</v>
      </c>
      <c r="K173" t="s">
        <v>240</v>
      </c>
      <c r="L173">
        <v>1368</v>
      </c>
      <c r="N173">
        <v>1011</v>
      </c>
      <c r="O173" t="s">
        <v>219</v>
      </c>
      <c r="P173" t="s">
        <v>219</v>
      </c>
      <c r="Q173">
        <v>1</v>
      </c>
      <c r="W173">
        <v>0</v>
      </c>
      <c r="X173">
        <v>1619837319</v>
      </c>
      <c r="Y173">
        <v>2.08</v>
      </c>
      <c r="AA173">
        <v>0</v>
      </c>
      <c r="AB173">
        <v>354.92</v>
      </c>
      <c r="AC173">
        <v>157.22999999999999</v>
      </c>
      <c r="AD173">
        <v>0</v>
      </c>
      <c r="AE173">
        <v>0</v>
      </c>
      <c r="AF173">
        <v>354.92</v>
      </c>
      <c r="AG173">
        <v>157.22999999999999</v>
      </c>
      <c r="AH173">
        <v>0</v>
      </c>
      <c r="AI173">
        <v>1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0</v>
      </c>
      <c r="AQ173">
        <v>0</v>
      </c>
      <c r="AR173">
        <v>0</v>
      </c>
      <c r="AS173" t="s">
        <v>3</v>
      </c>
      <c r="AT173">
        <v>2.08</v>
      </c>
      <c r="AU173" t="s">
        <v>3</v>
      </c>
      <c r="AV173">
        <v>0</v>
      </c>
      <c r="AW173">
        <v>2</v>
      </c>
      <c r="AX173">
        <v>37602525</v>
      </c>
      <c r="AY173">
        <v>1</v>
      </c>
      <c r="AZ173">
        <v>0</v>
      </c>
      <c r="BA173">
        <v>173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Y173*Source!I307</f>
        <v>2.28592</v>
      </c>
      <c r="CY173">
        <f>AB173</f>
        <v>354.92</v>
      </c>
      <c r="CZ173">
        <f>AF173</f>
        <v>354.92</v>
      </c>
      <c r="DA173">
        <f>AJ173</f>
        <v>1</v>
      </c>
      <c r="DB173">
        <v>0</v>
      </c>
    </row>
    <row r="174" spans="1:106" x14ac:dyDescent="0.2">
      <c r="A174">
        <f>ROW(Source!A307)</f>
        <v>307</v>
      </c>
      <c r="B174">
        <v>37598633</v>
      </c>
      <c r="C174">
        <v>37600364</v>
      </c>
      <c r="D174">
        <v>34188303</v>
      </c>
      <c r="E174">
        <v>1</v>
      </c>
      <c r="F174">
        <v>1</v>
      </c>
      <c r="G174">
        <v>15</v>
      </c>
      <c r="H174">
        <v>2</v>
      </c>
      <c r="I174" t="s">
        <v>241</v>
      </c>
      <c r="J174" t="s">
        <v>242</v>
      </c>
      <c r="K174" t="s">
        <v>243</v>
      </c>
      <c r="L174">
        <v>1368</v>
      </c>
      <c r="N174">
        <v>1011</v>
      </c>
      <c r="O174" t="s">
        <v>219</v>
      </c>
      <c r="P174" t="s">
        <v>219</v>
      </c>
      <c r="Q174">
        <v>1</v>
      </c>
      <c r="W174">
        <v>0</v>
      </c>
      <c r="X174">
        <v>-422229590</v>
      </c>
      <c r="Y174">
        <v>0.81</v>
      </c>
      <c r="AA174">
        <v>0</v>
      </c>
      <c r="AB174">
        <v>1527.34</v>
      </c>
      <c r="AC174">
        <v>334.88</v>
      </c>
      <c r="AD174">
        <v>0</v>
      </c>
      <c r="AE174">
        <v>0</v>
      </c>
      <c r="AF174">
        <v>1527.34</v>
      </c>
      <c r="AG174">
        <v>334.88</v>
      </c>
      <c r="AH174">
        <v>0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S174" t="s">
        <v>3</v>
      </c>
      <c r="AT174">
        <v>0.81</v>
      </c>
      <c r="AU174" t="s">
        <v>3</v>
      </c>
      <c r="AV174">
        <v>0</v>
      </c>
      <c r="AW174">
        <v>2</v>
      </c>
      <c r="AX174">
        <v>37602526</v>
      </c>
      <c r="AY174">
        <v>1</v>
      </c>
      <c r="AZ174">
        <v>0</v>
      </c>
      <c r="BA174">
        <v>174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Y174*Source!I307</f>
        <v>0.89019000000000004</v>
      </c>
      <c r="CY174">
        <f>AB174</f>
        <v>1527.34</v>
      </c>
      <c r="CZ174">
        <f>AF174</f>
        <v>1527.34</v>
      </c>
      <c r="DA174">
        <f>AJ174</f>
        <v>1</v>
      </c>
      <c r="DB174">
        <v>0</v>
      </c>
    </row>
    <row r="175" spans="1:106" x14ac:dyDescent="0.2">
      <c r="A175">
        <f>ROW(Source!A307)</f>
        <v>307</v>
      </c>
      <c r="B175">
        <v>37598633</v>
      </c>
      <c r="C175">
        <v>37600364</v>
      </c>
      <c r="D175">
        <v>34188265</v>
      </c>
      <c r="E175">
        <v>1</v>
      </c>
      <c r="F175">
        <v>1</v>
      </c>
      <c r="G175">
        <v>15</v>
      </c>
      <c r="H175">
        <v>2</v>
      </c>
      <c r="I175" t="s">
        <v>223</v>
      </c>
      <c r="J175" t="s">
        <v>224</v>
      </c>
      <c r="K175" t="s">
        <v>225</v>
      </c>
      <c r="L175">
        <v>1368</v>
      </c>
      <c r="N175">
        <v>1011</v>
      </c>
      <c r="O175" t="s">
        <v>219</v>
      </c>
      <c r="P175" t="s">
        <v>219</v>
      </c>
      <c r="Q175">
        <v>1</v>
      </c>
      <c r="W175">
        <v>0</v>
      </c>
      <c r="X175">
        <v>-1706694778</v>
      </c>
      <c r="Y175">
        <v>1.94</v>
      </c>
      <c r="AA175">
        <v>0</v>
      </c>
      <c r="AB175">
        <v>1142.6300000000001</v>
      </c>
      <c r="AC175">
        <v>468.35</v>
      </c>
      <c r="AD175">
        <v>0</v>
      </c>
      <c r="AE175">
        <v>0</v>
      </c>
      <c r="AF175">
        <v>1142.6300000000001</v>
      </c>
      <c r="AG175">
        <v>468.35</v>
      </c>
      <c r="AH175">
        <v>0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0</v>
      </c>
      <c r="AQ175">
        <v>0</v>
      </c>
      <c r="AR175">
        <v>0</v>
      </c>
      <c r="AS175" t="s">
        <v>3</v>
      </c>
      <c r="AT175">
        <v>1.94</v>
      </c>
      <c r="AU175" t="s">
        <v>3</v>
      </c>
      <c r="AV175">
        <v>0</v>
      </c>
      <c r="AW175">
        <v>2</v>
      </c>
      <c r="AX175">
        <v>37602527</v>
      </c>
      <c r="AY175">
        <v>1</v>
      </c>
      <c r="AZ175">
        <v>0</v>
      </c>
      <c r="BA175">
        <v>175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Y175*Source!I307</f>
        <v>2.1320600000000001</v>
      </c>
      <c r="CY175">
        <f>AB175</f>
        <v>1142.6300000000001</v>
      </c>
      <c r="CZ175">
        <f>AF175</f>
        <v>1142.6300000000001</v>
      </c>
      <c r="DA175">
        <f>AJ175</f>
        <v>1</v>
      </c>
      <c r="DB175">
        <v>0</v>
      </c>
    </row>
    <row r="176" spans="1:106" x14ac:dyDescent="0.2">
      <c r="A176">
        <f>ROW(Source!A307)</f>
        <v>307</v>
      </c>
      <c r="B176">
        <v>37598633</v>
      </c>
      <c r="C176">
        <v>37600364</v>
      </c>
      <c r="D176">
        <v>34188313</v>
      </c>
      <c r="E176">
        <v>1</v>
      </c>
      <c r="F176">
        <v>1</v>
      </c>
      <c r="G176">
        <v>15</v>
      </c>
      <c r="H176">
        <v>2</v>
      </c>
      <c r="I176" t="s">
        <v>244</v>
      </c>
      <c r="J176" t="s">
        <v>245</v>
      </c>
      <c r="K176" t="s">
        <v>246</v>
      </c>
      <c r="L176">
        <v>1368</v>
      </c>
      <c r="N176">
        <v>1011</v>
      </c>
      <c r="O176" t="s">
        <v>219</v>
      </c>
      <c r="P176" t="s">
        <v>219</v>
      </c>
      <c r="Q176">
        <v>1</v>
      </c>
      <c r="W176">
        <v>0</v>
      </c>
      <c r="X176">
        <v>-882610335</v>
      </c>
      <c r="Y176">
        <v>0.65</v>
      </c>
      <c r="AA176">
        <v>0</v>
      </c>
      <c r="AB176">
        <v>1590.37</v>
      </c>
      <c r="AC176">
        <v>497.81</v>
      </c>
      <c r="AD176">
        <v>0</v>
      </c>
      <c r="AE176">
        <v>0</v>
      </c>
      <c r="AF176">
        <v>1590.37</v>
      </c>
      <c r="AG176">
        <v>497.81</v>
      </c>
      <c r="AH176">
        <v>0</v>
      </c>
      <c r="AI176">
        <v>1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S176" t="s">
        <v>3</v>
      </c>
      <c r="AT176">
        <v>0.65</v>
      </c>
      <c r="AU176" t="s">
        <v>3</v>
      </c>
      <c r="AV176">
        <v>0</v>
      </c>
      <c r="AW176">
        <v>2</v>
      </c>
      <c r="AX176">
        <v>37602528</v>
      </c>
      <c r="AY176">
        <v>1</v>
      </c>
      <c r="AZ176">
        <v>0</v>
      </c>
      <c r="BA176">
        <v>176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Y176*Source!I307</f>
        <v>0.71435000000000004</v>
      </c>
      <c r="CY176">
        <f>AB176</f>
        <v>1590.37</v>
      </c>
      <c r="CZ176">
        <f>AF176</f>
        <v>1590.37</v>
      </c>
      <c r="DA176">
        <f>AJ176</f>
        <v>1</v>
      </c>
      <c r="DB176">
        <v>0</v>
      </c>
    </row>
    <row r="177" spans="1:106" x14ac:dyDescent="0.2">
      <c r="A177">
        <f>ROW(Source!A307)</f>
        <v>307</v>
      </c>
      <c r="B177">
        <v>37598633</v>
      </c>
      <c r="C177">
        <v>37600364</v>
      </c>
      <c r="D177">
        <v>34189650</v>
      </c>
      <c r="E177">
        <v>1</v>
      </c>
      <c r="F177">
        <v>1</v>
      </c>
      <c r="G177">
        <v>15</v>
      </c>
      <c r="H177">
        <v>3</v>
      </c>
      <c r="I177" t="s">
        <v>247</v>
      </c>
      <c r="J177" t="s">
        <v>248</v>
      </c>
      <c r="K177" t="s">
        <v>249</v>
      </c>
      <c r="L177">
        <v>1339</v>
      </c>
      <c r="N177">
        <v>1007</v>
      </c>
      <c r="O177" t="s">
        <v>115</v>
      </c>
      <c r="P177" t="s">
        <v>115</v>
      </c>
      <c r="Q177">
        <v>1</v>
      </c>
      <c r="W177">
        <v>0</v>
      </c>
      <c r="X177">
        <v>-1431983879</v>
      </c>
      <c r="Y177">
        <v>110</v>
      </c>
      <c r="AA177">
        <v>559.23</v>
      </c>
      <c r="AB177">
        <v>0</v>
      </c>
      <c r="AC177">
        <v>0</v>
      </c>
      <c r="AD177">
        <v>0</v>
      </c>
      <c r="AE177">
        <v>559.23</v>
      </c>
      <c r="AF177">
        <v>0</v>
      </c>
      <c r="AG177">
        <v>0</v>
      </c>
      <c r="AH177">
        <v>0</v>
      </c>
      <c r="AI177">
        <v>1</v>
      </c>
      <c r="AJ177">
        <v>1</v>
      </c>
      <c r="AK177">
        <v>1</v>
      </c>
      <c r="AL177">
        <v>1</v>
      </c>
      <c r="AN177">
        <v>0</v>
      </c>
      <c r="AO177">
        <v>1</v>
      </c>
      <c r="AP177">
        <v>1</v>
      </c>
      <c r="AQ177">
        <v>0</v>
      </c>
      <c r="AR177">
        <v>0</v>
      </c>
      <c r="AS177" t="s">
        <v>3</v>
      </c>
      <c r="AT177">
        <v>110</v>
      </c>
      <c r="AU177" t="s">
        <v>3</v>
      </c>
      <c r="AV177">
        <v>0</v>
      </c>
      <c r="AW177">
        <v>2</v>
      </c>
      <c r="AX177">
        <v>37602529</v>
      </c>
      <c r="AY177">
        <v>1</v>
      </c>
      <c r="AZ177">
        <v>0</v>
      </c>
      <c r="BA177">
        <v>177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Y177*Source!I307</f>
        <v>120.89</v>
      </c>
      <c r="CY177">
        <f>AA177</f>
        <v>559.23</v>
      </c>
      <c r="CZ177">
        <f>AE177</f>
        <v>559.23</v>
      </c>
      <c r="DA177">
        <f>AI177</f>
        <v>1</v>
      </c>
      <c r="DB177">
        <v>0</v>
      </c>
    </row>
    <row r="178" spans="1:106" x14ac:dyDescent="0.2">
      <c r="A178">
        <f>ROW(Source!A307)</f>
        <v>307</v>
      </c>
      <c r="B178">
        <v>37598633</v>
      </c>
      <c r="C178">
        <v>37600364</v>
      </c>
      <c r="D178">
        <v>34190363</v>
      </c>
      <c r="E178">
        <v>1</v>
      </c>
      <c r="F178">
        <v>1</v>
      </c>
      <c r="G178">
        <v>15</v>
      </c>
      <c r="H178">
        <v>3</v>
      </c>
      <c r="I178" t="s">
        <v>250</v>
      </c>
      <c r="J178" t="s">
        <v>251</v>
      </c>
      <c r="K178" t="s">
        <v>252</v>
      </c>
      <c r="L178">
        <v>1339</v>
      </c>
      <c r="N178">
        <v>1007</v>
      </c>
      <c r="O178" t="s">
        <v>115</v>
      </c>
      <c r="P178" t="s">
        <v>115</v>
      </c>
      <c r="Q178">
        <v>1</v>
      </c>
      <c r="W178">
        <v>0</v>
      </c>
      <c r="X178">
        <v>-156220903</v>
      </c>
      <c r="Y178">
        <v>5</v>
      </c>
      <c r="AA178">
        <v>28.77</v>
      </c>
      <c r="AB178">
        <v>0</v>
      </c>
      <c r="AC178">
        <v>0</v>
      </c>
      <c r="AD178">
        <v>0</v>
      </c>
      <c r="AE178">
        <v>28.77</v>
      </c>
      <c r="AF178">
        <v>0</v>
      </c>
      <c r="AG178">
        <v>0</v>
      </c>
      <c r="AH178">
        <v>0</v>
      </c>
      <c r="AI178">
        <v>1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1</v>
      </c>
      <c r="AQ178">
        <v>0</v>
      </c>
      <c r="AR178">
        <v>0</v>
      </c>
      <c r="AS178" t="s">
        <v>3</v>
      </c>
      <c r="AT178">
        <v>5</v>
      </c>
      <c r="AU178" t="s">
        <v>3</v>
      </c>
      <c r="AV178">
        <v>0</v>
      </c>
      <c r="AW178">
        <v>2</v>
      </c>
      <c r="AX178">
        <v>37602530</v>
      </c>
      <c r="AY178">
        <v>1</v>
      </c>
      <c r="AZ178">
        <v>0</v>
      </c>
      <c r="BA178">
        <v>178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Y178*Source!I307</f>
        <v>5.4950000000000001</v>
      </c>
      <c r="CY178">
        <f>AA178</f>
        <v>28.77</v>
      </c>
      <c r="CZ178">
        <f>AE178</f>
        <v>28.77</v>
      </c>
      <c r="DA178">
        <f>AI178</f>
        <v>1</v>
      </c>
      <c r="DB178">
        <v>0</v>
      </c>
    </row>
    <row r="179" spans="1:106" x14ac:dyDescent="0.2">
      <c r="A179">
        <f>ROW(Source!A308)</f>
        <v>308</v>
      </c>
      <c r="B179">
        <v>37598633</v>
      </c>
      <c r="C179">
        <v>37600381</v>
      </c>
      <c r="D179">
        <v>34176775</v>
      </c>
      <c r="E179">
        <v>15</v>
      </c>
      <c r="F179">
        <v>1</v>
      </c>
      <c r="G179">
        <v>15</v>
      </c>
      <c r="H179">
        <v>1</v>
      </c>
      <c r="I179" t="s">
        <v>213</v>
      </c>
      <c r="J179" t="s">
        <v>3</v>
      </c>
      <c r="K179" t="s">
        <v>214</v>
      </c>
      <c r="L179">
        <v>1191</v>
      </c>
      <c r="N179">
        <v>1013</v>
      </c>
      <c r="O179" t="s">
        <v>215</v>
      </c>
      <c r="P179" t="s">
        <v>215</v>
      </c>
      <c r="Q179">
        <v>1</v>
      </c>
      <c r="W179">
        <v>0</v>
      </c>
      <c r="X179">
        <v>476480486</v>
      </c>
      <c r="Y179">
        <v>24.84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1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S179" t="s">
        <v>3</v>
      </c>
      <c r="AT179">
        <v>24.84</v>
      </c>
      <c r="AU179" t="s">
        <v>3</v>
      </c>
      <c r="AV179">
        <v>1</v>
      </c>
      <c r="AW179">
        <v>2</v>
      </c>
      <c r="AX179">
        <v>37602531</v>
      </c>
      <c r="AY179">
        <v>1</v>
      </c>
      <c r="AZ179">
        <v>0</v>
      </c>
      <c r="BA179">
        <v>179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Y179*Source!I308</f>
        <v>27.299160000000001</v>
      </c>
      <c r="CY179">
        <f>AD179</f>
        <v>0</v>
      </c>
      <c r="CZ179">
        <f>AH179</f>
        <v>0</v>
      </c>
      <c r="DA179">
        <f>AL179</f>
        <v>1</v>
      </c>
      <c r="DB179">
        <v>0</v>
      </c>
    </row>
    <row r="180" spans="1:106" x14ac:dyDescent="0.2">
      <c r="A180">
        <f>ROW(Source!A308)</f>
        <v>308</v>
      </c>
      <c r="B180">
        <v>37598633</v>
      </c>
      <c r="C180">
        <v>37600381</v>
      </c>
      <c r="D180">
        <v>34188482</v>
      </c>
      <c r="E180">
        <v>1</v>
      </c>
      <c r="F180">
        <v>1</v>
      </c>
      <c r="G180">
        <v>15</v>
      </c>
      <c r="H180">
        <v>2</v>
      </c>
      <c r="I180" t="s">
        <v>253</v>
      </c>
      <c r="J180" t="s">
        <v>254</v>
      </c>
      <c r="K180" t="s">
        <v>255</v>
      </c>
      <c r="L180">
        <v>1368</v>
      </c>
      <c r="N180">
        <v>1011</v>
      </c>
      <c r="O180" t="s">
        <v>219</v>
      </c>
      <c r="P180" t="s">
        <v>219</v>
      </c>
      <c r="Q180">
        <v>1</v>
      </c>
      <c r="W180">
        <v>0</v>
      </c>
      <c r="X180">
        <v>-1514203159</v>
      </c>
      <c r="Y180">
        <v>2.94</v>
      </c>
      <c r="AA180">
        <v>0</v>
      </c>
      <c r="AB180">
        <v>711.82</v>
      </c>
      <c r="AC180">
        <v>363.48</v>
      </c>
      <c r="AD180">
        <v>0</v>
      </c>
      <c r="AE180">
        <v>0</v>
      </c>
      <c r="AF180">
        <v>711.82</v>
      </c>
      <c r="AG180">
        <v>363.48</v>
      </c>
      <c r="AH180">
        <v>0</v>
      </c>
      <c r="AI180">
        <v>1</v>
      </c>
      <c r="AJ180">
        <v>1</v>
      </c>
      <c r="AK180">
        <v>1</v>
      </c>
      <c r="AL180">
        <v>1</v>
      </c>
      <c r="AN180">
        <v>0</v>
      </c>
      <c r="AO180">
        <v>1</v>
      </c>
      <c r="AP180">
        <v>0</v>
      </c>
      <c r="AQ180">
        <v>0</v>
      </c>
      <c r="AR180">
        <v>0</v>
      </c>
      <c r="AS180" t="s">
        <v>3</v>
      </c>
      <c r="AT180">
        <v>2.94</v>
      </c>
      <c r="AU180" t="s">
        <v>3</v>
      </c>
      <c r="AV180">
        <v>0</v>
      </c>
      <c r="AW180">
        <v>2</v>
      </c>
      <c r="AX180">
        <v>37602532</v>
      </c>
      <c r="AY180">
        <v>1</v>
      </c>
      <c r="AZ180">
        <v>0</v>
      </c>
      <c r="BA180">
        <v>180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Y180*Source!I308</f>
        <v>3.2310599999999998</v>
      </c>
      <c r="CY180">
        <f t="shared" ref="CY180:CY185" si="18">AB180</f>
        <v>711.82</v>
      </c>
      <c r="CZ180">
        <f t="shared" ref="CZ180:CZ185" si="19">AF180</f>
        <v>711.82</v>
      </c>
      <c r="DA180">
        <f t="shared" ref="DA180:DA185" si="20">AJ180</f>
        <v>1</v>
      </c>
      <c r="DB180">
        <v>0</v>
      </c>
    </row>
    <row r="181" spans="1:106" x14ac:dyDescent="0.2">
      <c r="A181">
        <f>ROW(Source!A308)</f>
        <v>308</v>
      </c>
      <c r="B181">
        <v>37598633</v>
      </c>
      <c r="C181">
        <v>37600381</v>
      </c>
      <c r="D181">
        <v>34188303</v>
      </c>
      <c r="E181">
        <v>1</v>
      </c>
      <c r="F181">
        <v>1</v>
      </c>
      <c r="G181">
        <v>15</v>
      </c>
      <c r="H181">
        <v>2</v>
      </c>
      <c r="I181" t="s">
        <v>241</v>
      </c>
      <c r="J181" t="s">
        <v>242</v>
      </c>
      <c r="K181" t="s">
        <v>243</v>
      </c>
      <c r="L181">
        <v>1368</v>
      </c>
      <c r="N181">
        <v>1011</v>
      </c>
      <c r="O181" t="s">
        <v>219</v>
      </c>
      <c r="P181" t="s">
        <v>219</v>
      </c>
      <c r="Q181">
        <v>1</v>
      </c>
      <c r="W181">
        <v>0</v>
      </c>
      <c r="X181">
        <v>-422229590</v>
      </c>
      <c r="Y181">
        <v>1.1399999999999999</v>
      </c>
      <c r="AA181">
        <v>0</v>
      </c>
      <c r="AB181">
        <v>1527.34</v>
      </c>
      <c r="AC181">
        <v>334.88</v>
      </c>
      <c r="AD181">
        <v>0</v>
      </c>
      <c r="AE181">
        <v>0</v>
      </c>
      <c r="AF181">
        <v>1527.34</v>
      </c>
      <c r="AG181">
        <v>334.88</v>
      </c>
      <c r="AH181">
        <v>0</v>
      </c>
      <c r="AI181">
        <v>1</v>
      </c>
      <c r="AJ181">
        <v>1</v>
      </c>
      <c r="AK181">
        <v>1</v>
      </c>
      <c r="AL181">
        <v>1</v>
      </c>
      <c r="AN181">
        <v>0</v>
      </c>
      <c r="AO181">
        <v>1</v>
      </c>
      <c r="AP181">
        <v>0</v>
      </c>
      <c r="AQ181">
        <v>0</v>
      </c>
      <c r="AR181">
        <v>0</v>
      </c>
      <c r="AS181" t="s">
        <v>3</v>
      </c>
      <c r="AT181">
        <v>1.1399999999999999</v>
      </c>
      <c r="AU181" t="s">
        <v>3</v>
      </c>
      <c r="AV181">
        <v>0</v>
      </c>
      <c r="AW181">
        <v>2</v>
      </c>
      <c r="AX181">
        <v>37602533</v>
      </c>
      <c r="AY181">
        <v>1</v>
      </c>
      <c r="AZ181">
        <v>0</v>
      </c>
      <c r="BA181">
        <v>181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Y181*Source!I308</f>
        <v>1.2528599999999999</v>
      </c>
      <c r="CY181">
        <f t="shared" si="18"/>
        <v>1527.34</v>
      </c>
      <c r="CZ181">
        <f t="shared" si="19"/>
        <v>1527.34</v>
      </c>
      <c r="DA181">
        <f t="shared" si="20"/>
        <v>1</v>
      </c>
      <c r="DB181">
        <v>0</v>
      </c>
    </row>
    <row r="182" spans="1:106" x14ac:dyDescent="0.2">
      <c r="A182">
        <f>ROW(Source!A308)</f>
        <v>308</v>
      </c>
      <c r="B182">
        <v>37598633</v>
      </c>
      <c r="C182">
        <v>37600381</v>
      </c>
      <c r="D182">
        <v>34188322</v>
      </c>
      <c r="E182">
        <v>1</v>
      </c>
      <c r="F182">
        <v>1</v>
      </c>
      <c r="G182">
        <v>15</v>
      </c>
      <c r="H182">
        <v>2</v>
      </c>
      <c r="I182" t="s">
        <v>256</v>
      </c>
      <c r="J182" t="s">
        <v>257</v>
      </c>
      <c r="K182" t="s">
        <v>258</v>
      </c>
      <c r="L182">
        <v>1368</v>
      </c>
      <c r="N182">
        <v>1011</v>
      </c>
      <c r="O182" t="s">
        <v>219</v>
      </c>
      <c r="P182" t="s">
        <v>219</v>
      </c>
      <c r="Q182">
        <v>1</v>
      </c>
      <c r="W182">
        <v>0</v>
      </c>
      <c r="X182">
        <v>773118248</v>
      </c>
      <c r="Y182">
        <v>8.9600000000000009</v>
      </c>
      <c r="AA182">
        <v>0</v>
      </c>
      <c r="AB182">
        <v>984.76</v>
      </c>
      <c r="AC182">
        <v>387.07</v>
      </c>
      <c r="AD182">
        <v>0</v>
      </c>
      <c r="AE182">
        <v>0</v>
      </c>
      <c r="AF182">
        <v>984.76</v>
      </c>
      <c r="AG182">
        <v>387.07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1</v>
      </c>
      <c r="AP182">
        <v>0</v>
      </c>
      <c r="AQ182">
        <v>0</v>
      </c>
      <c r="AR182">
        <v>0</v>
      </c>
      <c r="AS182" t="s">
        <v>3</v>
      </c>
      <c r="AT182">
        <v>8.9600000000000009</v>
      </c>
      <c r="AU182" t="s">
        <v>3</v>
      </c>
      <c r="AV182">
        <v>0</v>
      </c>
      <c r="AW182">
        <v>2</v>
      </c>
      <c r="AX182">
        <v>37602534</v>
      </c>
      <c r="AY182">
        <v>1</v>
      </c>
      <c r="AZ182">
        <v>0</v>
      </c>
      <c r="BA182">
        <v>182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Y182*Source!I308</f>
        <v>9.8470400000000016</v>
      </c>
      <c r="CY182">
        <f t="shared" si="18"/>
        <v>984.76</v>
      </c>
      <c r="CZ182">
        <f t="shared" si="19"/>
        <v>984.76</v>
      </c>
      <c r="DA182">
        <f t="shared" si="20"/>
        <v>1</v>
      </c>
      <c r="DB182">
        <v>0</v>
      </c>
    </row>
    <row r="183" spans="1:106" x14ac:dyDescent="0.2">
      <c r="A183">
        <f>ROW(Source!A308)</f>
        <v>308</v>
      </c>
      <c r="B183">
        <v>37598633</v>
      </c>
      <c r="C183">
        <v>37600381</v>
      </c>
      <c r="D183">
        <v>34188321</v>
      </c>
      <c r="E183">
        <v>1</v>
      </c>
      <c r="F183">
        <v>1</v>
      </c>
      <c r="G183">
        <v>15</v>
      </c>
      <c r="H183">
        <v>2</v>
      </c>
      <c r="I183" t="s">
        <v>259</v>
      </c>
      <c r="J183" t="s">
        <v>260</v>
      </c>
      <c r="K183" t="s">
        <v>261</v>
      </c>
      <c r="L183">
        <v>1368</v>
      </c>
      <c r="N183">
        <v>1011</v>
      </c>
      <c r="O183" t="s">
        <v>219</v>
      </c>
      <c r="P183" t="s">
        <v>219</v>
      </c>
      <c r="Q183">
        <v>1</v>
      </c>
      <c r="W183">
        <v>0</v>
      </c>
      <c r="X183">
        <v>867169437</v>
      </c>
      <c r="Y183">
        <v>18.25</v>
      </c>
      <c r="AA183">
        <v>0</v>
      </c>
      <c r="AB183">
        <v>1482.31</v>
      </c>
      <c r="AC183">
        <v>526.20000000000005</v>
      </c>
      <c r="AD183">
        <v>0</v>
      </c>
      <c r="AE183">
        <v>0</v>
      </c>
      <c r="AF183">
        <v>1482.31</v>
      </c>
      <c r="AG183">
        <v>526.20000000000005</v>
      </c>
      <c r="AH183">
        <v>0</v>
      </c>
      <c r="AI183">
        <v>1</v>
      </c>
      <c r="AJ183">
        <v>1</v>
      </c>
      <c r="AK183">
        <v>1</v>
      </c>
      <c r="AL183">
        <v>1</v>
      </c>
      <c r="AN183">
        <v>0</v>
      </c>
      <c r="AO183">
        <v>1</v>
      </c>
      <c r="AP183">
        <v>0</v>
      </c>
      <c r="AQ183">
        <v>0</v>
      </c>
      <c r="AR183">
        <v>0</v>
      </c>
      <c r="AS183" t="s">
        <v>3</v>
      </c>
      <c r="AT183">
        <v>18.25</v>
      </c>
      <c r="AU183" t="s">
        <v>3</v>
      </c>
      <c r="AV183">
        <v>0</v>
      </c>
      <c r="AW183">
        <v>2</v>
      </c>
      <c r="AX183">
        <v>37602535</v>
      </c>
      <c r="AY183">
        <v>1</v>
      </c>
      <c r="AZ183">
        <v>0</v>
      </c>
      <c r="BA183">
        <v>183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Y183*Source!I308</f>
        <v>20.056750000000001</v>
      </c>
      <c r="CY183">
        <f t="shared" si="18"/>
        <v>1482.31</v>
      </c>
      <c r="CZ183">
        <f t="shared" si="19"/>
        <v>1482.31</v>
      </c>
      <c r="DA183">
        <f t="shared" si="20"/>
        <v>1</v>
      </c>
      <c r="DB183">
        <v>0</v>
      </c>
    </row>
    <row r="184" spans="1:106" x14ac:dyDescent="0.2">
      <c r="A184">
        <f>ROW(Source!A308)</f>
        <v>308</v>
      </c>
      <c r="B184">
        <v>37598633</v>
      </c>
      <c r="C184">
        <v>37600381</v>
      </c>
      <c r="D184">
        <v>34188265</v>
      </c>
      <c r="E184">
        <v>1</v>
      </c>
      <c r="F184">
        <v>1</v>
      </c>
      <c r="G184">
        <v>15</v>
      </c>
      <c r="H184">
        <v>2</v>
      </c>
      <c r="I184" t="s">
        <v>223</v>
      </c>
      <c r="J184" t="s">
        <v>224</v>
      </c>
      <c r="K184" t="s">
        <v>225</v>
      </c>
      <c r="L184">
        <v>1368</v>
      </c>
      <c r="N184">
        <v>1011</v>
      </c>
      <c r="O184" t="s">
        <v>219</v>
      </c>
      <c r="P184" t="s">
        <v>219</v>
      </c>
      <c r="Q184">
        <v>1</v>
      </c>
      <c r="W184">
        <v>0</v>
      </c>
      <c r="X184">
        <v>-1706694778</v>
      </c>
      <c r="Y184">
        <v>2.2400000000000002</v>
      </c>
      <c r="AA184">
        <v>0</v>
      </c>
      <c r="AB184">
        <v>1142.6300000000001</v>
      </c>
      <c r="AC184">
        <v>468.35</v>
      </c>
      <c r="AD184">
        <v>0</v>
      </c>
      <c r="AE184">
        <v>0</v>
      </c>
      <c r="AF184">
        <v>1142.6300000000001</v>
      </c>
      <c r="AG184">
        <v>468.35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1</v>
      </c>
      <c r="AP184">
        <v>0</v>
      </c>
      <c r="AQ184">
        <v>0</v>
      </c>
      <c r="AR184">
        <v>0</v>
      </c>
      <c r="AS184" t="s">
        <v>3</v>
      </c>
      <c r="AT184">
        <v>2.2400000000000002</v>
      </c>
      <c r="AU184" t="s">
        <v>3</v>
      </c>
      <c r="AV184">
        <v>0</v>
      </c>
      <c r="AW184">
        <v>2</v>
      </c>
      <c r="AX184">
        <v>37602536</v>
      </c>
      <c r="AY184">
        <v>1</v>
      </c>
      <c r="AZ184">
        <v>0</v>
      </c>
      <c r="BA184">
        <v>184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Y184*Source!I308</f>
        <v>2.4617600000000004</v>
      </c>
      <c r="CY184">
        <f t="shared" si="18"/>
        <v>1142.6300000000001</v>
      </c>
      <c r="CZ184">
        <f t="shared" si="19"/>
        <v>1142.6300000000001</v>
      </c>
      <c r="DA184">
        <f t="shared" si="20"/>
        <v>1</v>
      </c>
      <c r="DB184">
        <v>0</v>
      </c>
    </row>
    <row r="185" spans="1:106" x14ac:dyDescent="0.2">
      <c r="A185">
        <f>ROW(Source!A308)</f>
        <v>308</v>
      </c>
      <c r="B185">
        <v>37598633</v>
      </c>
      <c r="C185">
        <v>37600381</v>
      </c>
      <c r="D185">
        <v>34188313</v>
      </c>
      <c r="E185">
        <v>1</v>
      </c>
      <c r="F185">
        <v>1</v>
      </c>
      <c r="G185">
        <v>15</v>
      </c>
      <c r="H185">
        <v>2</v>
      </c>
      <c r="I185" t="s">
        <v>244</v>
      </c>
      <c r="J185" t="s">
        <v>245</v>
      </c>
      <c r="K185" t="s">
        <v>246</v>
      </c>
      <c r="L185">
        <v>1368</v>
      </c>
      <c r="N185">
        <v>1011</v>
      </c>
      <c r="O185" t="s">
        <v>219</v>
      </c>
      <c r="P185" t="s">
        <v>219</v>
      </c>
      <c r="Q185">
        <v>1</v>
      </c>
      <c r="W185">
        <v>0</v>
      </c>
      <c r="X185">
        <v>-882610335</v>
      </c>
      <c r="Y185">
        <v>0.65</v>
      </c>
      <c r="AA185">
        <v>0</v>
      </c>
      <c r="AB185">
        <v>1590.37</v>
      </c>
      <c r="AC185">
        <v>497.81</v>
      </c>
      <c r="AD185">
        <v>0</v>
      </c>
      <c r="AE185">
        <v>0</v>
      </c>
      <c r="AF185">
        <v>1590.37</v>
      </c>
      <c r="AG185">
        <v>497.81</v>
      </c>
      <c r="AH185">
        <v>0</v>
      </c>
      <c r="AI185">
        <v>1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S185" t="s">
        <v>3</v>
      </c>
      <c r="AT185">
        <v>0.65</v>
      </c>
      <c r="AU185" t="s">
        <v>3</v>
      </c>
      <c r="AV185">
        <v>0</v>
      </c>
      <c r="AW185">
        <v>2</v>
      </c>
      <c r="AX185">
        <v>37602537</v>
      </c>
      <c r="AY185">
        <v>1</v>
      </c>
      <c r="AZ185">
        <v>0</v>
      </c>
      <c r="BA185">
        <v>185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Y185*Source!I308</f>
        <v>0.71435000000000004</v>
      </c>
      <c r="CY185">
        <f t="shared" si="18"/>
        <v>1590.37</v>
      </c>
      <c r="CZ185">
        <f t="shared" si="19"/>
        <v>1590.37</v>
      </c>
      <c r="DA185">
        <f t="shared" si="20"/>
        <v>1</v>
      </c>
      <c r="DB185">
        <v>0</v>
      </c>
    </row>
    <row r="186" spans="1:106" x14ac:dyDescent="0.2">
      <c r="A186">
        <f>ROW(Source!A308)</f>
        <v>308</v>
      </c>
      <c r="B186">
        <v>37598633</v>
      </c>
      <c r="C186">
        <v>37600381</v>
      </c>
      <c r="D186">
        <v>34189676</v>
      </c>
      <c r="E186">
        <v>1</v>
      </c>
      <c r="F186">
        <v>1</v>
      </c>
      <c r="G186">
        <v>15</v>
      </c>
      <c r="H186">
        <v>3</v>
      </c>
      <c r="I186" t="s">
        <v>262</v>
      </c>
      <c r="J186" t="s">
        <v>263</v>
      </c>
      <c r="K186" t="s">
        <v>264</v>
      </c>
      <c r="L186">
        <v>1339</v>
      </c>
      <c r="N186">
        <v>1007</v>
      </c>
      <c r="O186" t="s">
        <v>115</v>
      </c>
      <c r="P186" t="s">
        <v>115</v>
      </c>
      <c r="Q186">
        <v>1</v>
      </c>
      <c r="W186">
        <v>0</v>
      </c>
      <c r="X186">
        <v>812099054</v>
      </c>
      <c r="Y186">
        <v>126</v>
      </c>
      <c r="AA186">
        <v>1910.98</v>
      </c>
      <c r="AB186">
        <v>0</v>
      </c>
      <c r="AC186">
        <v>0</v>
      </c>
      <c r="AD186">
        <v>0</v>
      </c>
      <c r="AE186">
        <v>1910.98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1</v>
      </c>
      <c r="AQ186">
        <v>0</v>
      </c>
      <c r="AR186">
        <v>0</v>
      </c>
      <c r="AS186" t="s">
        <v>3</v>
      </c>
      <c r="AT186">
        <v>126</v>
      </c>
      <c r="AU186" t="s">
        <v>3</v>
      </c>
      <c r="AV186">
        <v>0</v>
      </c>
      <c r="AW186">
        <v>2</v>
      </c>
      <c r="AX186">
        <v>37602538</v>
      </c>
      <c r="AY186">
        <v>1</v>
      </c>
      <c r="AZ186">
        <v>0</v>
      </c>
      <c r="BA186">
        <v>186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Y186*Source!I308</f>
        <v>138.47399999999999</v>
      </c>
      <c r="CY186">
        <f>AA186</f>
        <v>1910.98</v>
      </c>
      <c r="CZ186">
        <f>AE186</f>
        <v>1910.98</v>
      </c>
      <c r="DA186">
        <f>AI186</f>
        <v>1</v>
      </c>
      <c r="DB186">
        <v>0</v>
      </c>
    </row>
    <row r="187" spans="1:106" x14ac:dyDescent="0.2">
      <c r="A187">
        <f>ROW(Source!A308)</f>
        <v>308</v>
      </c>
      <c r="B187">
        <v>37598633</v>
      </c>
      <c r="C187">
        <v>37600381</v>
      </c>
      <c r="D187">
        <v>34190363</v>
      </c>
      <c r="E187">
        <v>1</v>
      </c>
      <c r="F187">
        <v>1</v>
      </c>
      <c r="G187">
        <v>15</v>
      </c>
      <c r="H187">
        <v>3</v>
      </c>
      <c r="I187" t="s">
        <v>250</v>
      </c>
      <c r="J187" t="s">
        <v>251</v>
      </c>
      <c r="K187" t="s">
        <v>252</v>
      </c>
      <c r="L187">
        <v>1339</v>
      </c>
      <c r="N187">
        <v>1007</v>
      </c>
      <c r="O187" t="s">
        <v>115</v>
      </c>
      <c r="P187" t="s">
        <v>115</v>
      </c>
      <c r="Q187">
        <v>1</v>
      </c>
      <c r="W187">
        <v>0</v>
      </c>
      <c r="X187">
        <v>-156220903</v>
      </c>
      <c r="Y187">
        <v>7</v>
      </c>
      <c r="AA187">
        <v>28.77</v>
      </c>
      <c r="AB187">
        <v>0</v>
      </c>
      <c r="AC187">
        <v>0</v>
      </c>
      <c r="AD187">
        <v>0</v>
      </c>
      <c r="AE187">
        <v>28.77</v>
      </c>
      <c r="AF187">
        <v>0</v>
      </c>
      <c r="AG187">
        <v>0</v>
      </c>
      <c r="AH187">
        <v>0</v>
      </c>
      <c r="AI187">
        <v>1</v>
      </c>
      <c r="AJ187">
        <v>1</v>
      </c>
      <c r="AK187">
        <v>1</v>
      </c>
      <c r="AL187">
        <v>1</v>
      </c>
      <c r="AN187">
        <v>0</v>
      </c>
      <c r="AO187">
        <v>1</v>
      </c>
      <c r="AP187">
        <v>1</v>
      </c>
      <c r="AQ187">
        <v>0</v>
      </c>
      <c r="AR187">
        <v>0</v>
      </c>
      <c r="AS187" t="s">
        <v>3</v>
      </c>
      <c r="AT187">
        <v>7</v>
      </c>
      <c r="AU187" t="s">
        <v>3</v>
      </c>
      <c r="AV187">
        <v>0</v>
      </c>
      <c r="AW187">
        <v>2</v>
      </c>
      <c r="AX187">
        <v>37602539</v>
      </c>
      <c r="AY187">
        <v>1</v>
      </c>
      <c r="AZ187">
        <v>0</v>
      </c>
      <c r="BA187">
        <v>187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Y187*Source!I308</f>
        <v>7.6929999999999996</v>
      </c>
      <c r="CY187">
        <f>AA187</f>
        <v>28.77</v>
      </c>
      <c r="CZ187">
        <f>AE187</f>
        <v>28.77</v>
      </c>
      <c r="DA187">
        <f>AI187</f>
        <v>1</v>
      </c>
      <c r="DB187">
        <v>0</v>
      </c>
    </row>
    <row r="188" spans="1:106" x14ac:dyDescent="0.2">
      <c r="A188">
        <f>ROW(Source!A309)</f>
        <v>309</v>
      </c>
      <c r="B188">
        <v>37598633</v>
      </c>
      <c r="C188">
        <v>37600400</v>
      </c>
      <c r="D188">
        <v>34176775</v>
      </c>
      <c r="E188">
        <v>15</v>
      </c>
      <c r="F188">
        <v>1</v>
      </c>
      <c r="G188">
        <v>15</v>
      </c>
      <c r="H188">
        <v>1</v>
      </c>
      <c r="I188" t="s">
        <v>213</v>
      </c>
      <c r="J188" t="s">
        <v>3</v>
      </c>
      <c r="K188" t="s">
        <v>214</v>
      </c>
      <c r="L188">
        <v>1191</v>
      </c>
      <c r="N188">
        <v>1013</v>
      </c>
      <c r="O188" t="s">
        <v>215</v>
      </c>
      <c r="P188" t="s">
        <v>215</v>
      </c>
      <c r="Q188">
        <v>1</v>
      </c>
      <c r="W188">
        <v>0</v>
      </c>
      <c r="X188">
        <v>476480486</v>
      </c>
      <c r="Y188">
        <v>13.57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1</v>
      </c>
      <c r="AJ188">
        <v>1</v>
      </c>
      <c r="AK188">
        <v>1</v>
      </c>
      <c r="AL188">
        <v>1</v>
      </c>
      <c r="AN188">
        <v>0</v>
      </c>
      <c r="AO188">
        <v>1</v>
      </c>
      <c r="AP188">
        <v>0</v>
      </c>
      <c r="AQ188">
        <v>0</v>
      </c>
      <c r="AR188">
        <v>0</v>
      </c>
      <c r="AS188" t="s">
        <v>3</v>
      </c>
      <c r="AT188">
        <v>13.57</v>
      </c>
      <c r="AU188" t="s">
        <v>3</v>
      </c>
      <c r="AV188">
        <v>1</v>
      </c>
      <c r="AW188">
        <v>2</v>
      </c>
      <c r="AX188">
        <v>37602540</v>
      </c>
      <c r="AY188">
        <v>1</v>
      </c>
      <c r="AZ188">
        <v>0</v>
      </c>
      <c r="BA188">
        <v>188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Y188*Source!I309</f>
        <v>149.1343</v>
      </c>
      <c r="CY188">
        <f>AD188</f>
        <v>0</v>
      </c>
      <c r="CZ188">
        <f>AH188</f>
        <v>0</v>
      </c>
      <c r="DA188">
        <f>AL188</f>
        <v>1</v>
      </c>
      <c r="DB188">
        <v>0</v>
      </c>
    </row>
    <row r="189" spans="1:106" x14ac:dyDescent="0.2">
      <c r="A189">
        <f>ROW(Source!A309)</f>
        <v>309</v>
      </c>
      <c r="B189">
        <v>37598633</v>
      </c>
      <c r="C189">
        <v>37600400</v>
      </c>
      <c r="D189">
        <v>34188316</v>
      </c>
      <c r="E189">
        <v>1</v>
      </c>
      <c r="F189">
        <v>1</v>
      </c>
      <c r="G189">
        <v>15</v>
      </c>
      <c r="H189">
        <v>2</v>
      </c>
      <c r="I189" t="s">
        <v>265</v>
      </c>
      <c r="J189" t="s">
        <v>266</v>
      </c>
      <c r="K189" t="s">
        <v>267</v>
      </c>
      <c r="L189">
        <v>1368</v>
      </c>
      <c r="N189">
        <v>1011</v>
      </c>
      <c r="O189" t="s">
        <v>219</v>
      </c>
      <c r="P189" t="s">
        <v>219</v>
      </c>
      <c r="Q189">
        <v>1</v>
      </c>
      <c r="W189">
        <v>0</v>
      </c>
      <c r="X189">
        <v>1511709852</v>
      </c>
      <c r="Y189">
        <v>0.46</v>
      </c>
      <c r="AA189">
        <v>0</v>
      </c>
      <c r="AB189">
        <v>628.07000000000005</v>
      </c>
      <c r="AC189">
        <v>377.51</v>
      </c>
      <c r="AD189">
        <v>0</v>
      </c>
      <c r="AE189">
        <v>0</v>
      </c>
      <c r="AF189">
        <v>628.07000000000005</v>
      </c>
      <c r="AG189">
        <v>377.51</v>
      </c>
      <c r="AH189">
        <v>0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1</v>
      </c>
      <c r="AP189">
        <v>0</v>
      </c>
      <c r="AQ189">
        <v>0</v>
      </c>
      <c r="AR189">
        <v>0</v>
      </c>
      <c r="AS189" t="s">
        <v>3</v>
      </c>
      <c r="AT189">
        <v>0.46</v>
      </c>
      <c r="AU189" t="s">
        <v>3</v>
      </c>
      <c r="AV189">
        <v>0</v>
      </c>
      <c r="AW189">
        <v>2</v>
      </c>
      <c r="AX189">
        <v>37602541</v>
      </c>
      <c r="AY189">
        <v>1</v>
      </c>
      <c r="AZ189">
        <v>0</v>
      </c>
      <c r="BA189">
        <v>189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Y189*Source!I309</f>
        <v>5.0554000000000006</v>
      </c>
      <c r="CY189">
        <f>AB189</f>
        <v>628.07000000000005</v>
      </c>
      <c r="CZ189">
        <f>AF189</f>
        <v>628.07000000000005</v>
      </c>
      <c r="DA189">
        <f>AJ189</f>
        <v>1</v>
      </c>
      <c r="DB189">
        <v>0</v>
      </c>
    </row>
    <row r="190" spans="1:106" x14ac:dyDescent="0.2">
      <c r="A190">
        <f>ROW(Source!A309)</f>
        <v>309</v>
      </c>
      <c r="B190">
        <v>37598633</v>
      </c>
      <c r="C190">
        <v>37600400</v>
      </c>
      <c r="D190">
        <v>34188315</v>
      </c>
      <c r="E190">
        <v>1</v>
      </c>
      <c r="F190">
        <v>1</v>
      </c>
      <c r="G190">
        <v>15</v>
      </c>
      <c r="H190">
        <v>2</v>
      </c>
      <c r="I190" t="s">
        <v>268</v>
      </c>
      <c r="J190" t="s">
        <v>269</v>
      </c>
      <c r="K190" t="s">
        <v>270</v>
      </c>
      <c r="L190">
        <v>1368</v>
      </c>
      <c r="N190">
        <v>1011</v>
      </c>
      <c r="O190" t="s">
        <v>219</v>
      </c>
      <c r="P190" t="s">
        <v>219</v>
      </c>
      <c r="Q190">
        <v>1</v>
      </c>
      <c r="W190">
        <v>0</v>
      </c>
      <c r="X190">
        <v>941035487</v>
      </c>
      <c r="Y190">
        <v>1.39</v>
      </c>
      <c r="AA190">
        <v>0</v>
      </c>
      <c r="AB190">
        <v>681</v>
      </c>
      <c r="AC190">
        <v>389.98</v>
      </c>
      <c r="AD190">
        <v>0</v>
      </c>
      <c r="AE190">
        <v>0</v>
      </c>
      <c r="AF190">
        <v>681</v>
      </c>
      <c r="AG190">
        <v>389.98</v>
      </c>
      <c r="AH190">
        <v>0</v>
      </c>
      <c r="AI190">
        <v>1</v>
      </c>
      <c r="AJ190">
        <v>1</v>
      </c>
      <c r="AK190">
        <v>1</v>
      </c>
      <c r="AL190">
        <v>1</v>
      </c>
      <c r="AN190">
        <v>0</v>
      </c>
      <c r="AO190">
        <v>1</v>
      </c>
      <c r="AP190">
        <v>0</v>
      </c>
      <c r="AQ190">
        <v>0</v>
      </c>
      <c r="AR190">
        <v>0</v>
      </c>
      <c r="AS190" t="s">
        <v>3</v>
      </c>
      <c r="AT190">
        <v>1.39</v>
      </c>
      <c r="AU190" t="s">
        <v>3</v>
      </c>
      <c r="AV190">
        <v>0</v>
      </c>
      <c r="AW190">
        <v>2</v>
      </c>
      <c r="AX190">
        <v>37602542</v>
      </c>
      <c r="AY190">
        <v>1</v>
      </c>
      <c r="AZ190">
        <v>0</v>
      </c>
      <c r="BA190">
        <v>190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Y190*Source!I309</f>
        <v>15.2761</v>
      </c>
      <c r="CY190">
        <f>AB190</f>
        <v>681</v>
      </c>
      <c r="CZ190">
        <f>AF190</f>
        <v>681</v>
      </c>
      <c r="DA190">
        <f>AJ190</f>
        <v>1</v>
      </c>
      <c r="DB190">
        <v>0</v>
      </c>
    </row>
    <row r="191" spans="1:106" x14ac:dyDescent="0.2">
      <c r="A191">
        <f>ROW(Source!A309)</f>
        <v>309</v>
      </c>
      <c r="B191">
        <v>37598633</v>
      </c>
      <c r="C191">
        <v>37600400</v>
      </c>
      <c r="D191">
        <v>34191424</v>
      </c>
      <c r="E191">
        <v>1</v>
      </c>
      <c r="F191">
        <v>1</v>
      </c>
      <c r="G191">
        <v>15</v>
      </c>
      <c r="H191">
        <v>3</v>
      </c>
      <c r="I191" t="s">
        <v>271</v>
      </c>
      <c r="J191" t="s">
        <v>272</v>
      </c>
      <c r="K191" t="s">
        <v>273</v>
      </c>
      <c r="L191">
        <v>1348</v>
      </c>
      <c r="N191">
        <v>1009</v>
      </c>
      <c r="O191" t="s">
        <v>29</v>
      </c>
      <c r="P191" t="s">
        <v>29</v>
      </c>
      <c r="Q191">
        <v>1000</v>
      </c>
      <c r="W191">
        <v>0</v>
      </c>
      <c r="X191">
        <v>58957476</v>
      </c>
      <c r="Y191">
        <v>11.975</v>
      </c>
      <c r="AA191">
        <v>2314.4499999999998</v>
      </c>
      <c r="AB191">
        <v>0</v>
      </c>
      <c r="AC191">
        <v>0</v>
      </c>
      <c r="AD191">
        <v>0</v>
      </c>
      <c r="AE191">
        <v>2314.4499999999998</v>
      </c>
      <c r="AF191">
        <v>0</v>
      </c>
      <c r="AG191">
        <v>0</v>
      </c>
      <c r="AH191">
        <v>0</v>
      </c>
      <c r="AI191">
        <v>1</v>
      </c>
      <c r="AJ191">
        <v>1</v>
      </c>
      <c r="AK191">
        <v>1</v>
      </c>
      <c r="AL191">
        <v>1</v>
      </c>
      <c r="AN191">
        <v>0</v>
      </c>
      <c r="AO191">
        <v>1</v>
      </c>
      <c r="AP191">
        <v>1</v>
      </c>
      <c r="AQ191">
        <v>0</v>
      </c>
      <c r="AR191">
        <v>0</v>
      </c>
      <c r="AS191" t="s">
        <v>3</v>
      </c>
      <c r="AT191">
        <v>9.58</v>
      </c>
      <c r="AU191" t="s">
        <v>54</v>
      </c>
      <c r="AV191">
        <v>0</v>
      </c>
      <c r="AW191">
        <v>2</v>
      </c>
      <c r="AX191">
        <v>37602543</v>
      </c>
      <c r="AY191">
        <v>1</v>
      </c>
      <c r="AZ191">
        <v>0</v>
      </c>
      <c r="BA191">
        <v>191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Y191*Source!I309</f>
        <v>131.60525000000001</v>
      </c>
      <c r="CY191">
        <f>AA191</f>
        <v>2314.4499999999998</v>
      </c>
      <c r="CZ191">
        <f>AE191</f>
        <v>2314.4499999999998</v>
      </c>
      <c r="DA191">
        <f>AI191</f>
        <v>1</v>
      </c>
      <c r="DB191">
        <v>0</v>
      </c>
    </row>
    <row r="192" spans="1:106" x14ac:dyDescent="0.2">
      <c r="A192">
        <f>ROW(Source!A310)</f>
        <v>310</v>
      </c>
      <c r="B192">
        <v>37598633</v>
      </c>
      <c r="C192">
        <v>37600409</v>
      </c>
      <c r="D192">
        <v>34176775</v>
      </c>
      <c r="E192">
        <v>15</v>
      </c>
      <c r="F192">
        <v>1</v>
      </c>
      <c r="G192">
        <v>15</v>
      </c>
      <c r="H192">
        <v>1</v>
      </c>
      <c r="I192" t="s">
        <v>213</v>
      </c>
      <c r="J192" t="s">
        <v>3</v>
      </c>
      <c r="K192" t="s">
        <v>214</v>
      </c>
      <c r="L192">
        <v>1191</v>
      </c>
      <c r="N192">
        <v>1013</v>
      </c>
      <c r="O192" t="s">
        <v>215</v>
      </c>
      <c r="P192" t="s">
        <v>215</v>
      </c>
      <c r="Q192">
        <v>1</v>
      </c>
      <c r="W192">
        <v>0</v>
      </c>
      <c r="X192">
        <v>476480486</v>
      </c>
      <c r="Y192">
        <v>18.440000000000001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1</v>
      </c>
      <c r="AJ192">
        <v>1</v>
      </c>
      <c r="AK192">
        <v>1</v>
      </c>
      <c r="AL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S192" t="s">
        <v>3</v>
      </c>
      <c r="AT192">
        <v>18.440000000000001</v>
      </c>
      <c r="AU192" t="s">
        <v>3</v>
      </c>
      <c r="AV192">
        <v>1</v>
      </c>
      <c r="AW192">
        <v>2</v>
      </c>
      <c r="AX192">
        <v>37602554</v>
      </c>
      <c r="AY192">
        <v>1</v>
      </c>
      <c r="AZ192">
        <v>0</v>
      </c>
      <c r="BA192">
        <v>192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Y192*Source!I310</f>
        <v>202.65560000000002</v>
      </c>
      <c r="CY192">
        <f>AD192</f>
        <v>0</v>
      </c>
      <c r="CZ192">
        <f>AH192</f>
        <v>0</v>
      </c>
      <c r="DA192">
        <f>AL192</f>
        <v>1</v>
      </c>
      <c r="DB192">
        <v>0</v>
      </c>
    </row>
    <row r="193" spans="1:106" x14ac:dyDescent="0.2">
      <c r="A193">
        <f>ROW(Source!A310)</f>
        <v>310</v>
      </c>
      <c r="B193">
        <v>37598633</v>
      </c>
      <c r="C193">
        <v>37600409</v>
      </c>
      <c r="D193">
        <v>34187808</v>
      </c>
      <c r="E193">
        <v>1</v>
      </c>
      <c r="F193">
        <v>1</v>
      </c>
      <c r="G193">
        <v>15</v>
      </c>
      <c r="H193">
        <v>2</v>
      </c>
      <c r="I193" t="s">
        <v>309</v>
      </c>
      <c r="J193" t="s">
        <v>310</v>
      </c>
      <c r="K193" t="s">
        <v>311</v>
      </c>
      <c r="L193">
        <v>1368</v>
      </c>
      <c r="N193">
        <v>1011</v>
      </c>
      <c r="O193" t="s">
        <v>219</v>
      </c>
      <c r="P193" t="s">
        <v>219</v>
      </c>
      <c r="Q193">
        <v>1</v>
      </c>
      <c r="W193">
        <v>0</v>
      </c>
      <c r="X193">
        <v>-853369462</v>
      </c>
      <c r="Y193">
        <v>2.64</v>
      </c>
      <c r="AA193">
        <v>0</v>
      </c>
      <c r="AB193">
        <v>401.44</v>
      </c>
      <c r="AC193">
        <v>272.81</v>
      </c>
      <c r="AD193">
        <v>0</v>
      </c>
      <c r="AE193">
        <v>0</v>
      </c>
      <c r="AF193">
        <v>401.44</v>
      </c>
      <c r="AG193">
        <v>272.81</v>
      </c>
      <c r="AH193">
        <v>0</v>
      </c>
      <c r="AI193">
        <v>1</v>
      </c>
      <c r="AJ193">
        <v>1</v>
      </c>
      <c r="AK193">
        <v>1</v>
      </c>
      <c r="AL193">
        <v>1</v>
      </c>
      <c r="AN193">
        <v>0</v>
      </c>
      <c r="AO193">
        <v>1</v>
      </c>
      <c r="AP193">
        <v>0</v>
      </c>
      <c r="AQ193">
        <v>0</v>
      </c>
      <c r="AR193">
        <v>0</v>
      </c>
      <c r="AS193" t="s">
        <v>3</v>
      </c>
      <c r="AT193">
        <v>2.64</v>
      </c>
      <c r="AU193" t="s">
        <v>3</v>
      </c>
      <c r="AV193">
        <v>0</v>
      </c>
      <c r="AW193">
        <v>2</v>
      </c>
      <c r="AX193">
        <v>37602555</v>
      </c>
      <c r="AY193">
        <v>1</v>
      </c>
      <c r="AZ193">
        <v>0</v>
      </c>
      <c r="BA193">
        <v>193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Y193*Source!I310</f>
        <v>29.0136</v>
      </c>
      <c r="CY193">
        <f>AB193</f>
        <v>401.44</v>
      </c>
      <c r="CZ193">
        <f>AF193</f>
        <v>401.44</v>
      </c>
      <c r="DA193">
        <f>AJ193</f>
        <v>1</v>
      </c>
      <c r="DB193">
        <v>0</v>
      </c>
    </row>
    <row r="194" spans="1:106" x14ac:dyDescent="0.2">
      <c r="A194">
        <f>ROW(Source!A310)</f>
        <v>310</v>
      </c>
      <c r="B194">
        <v>37598633</v>
      </c>
      <c r="C194">
        <v>37600409</v>
      </c>
      <c r="D194">
        <v>34187761</v>
      </c>
      <c r="E194">
        <v>1</v>
      </c>
      <c r="F194">
        <v>1</v>
      </c>
      <c r="G194">
        <v>15</v>
      </c>
      <c r="H194">
        <v>2</v>
      </c>
      <c r="I194" t="s">
        <v>312</v>
      </c>
      <c r="J194" t="s">
        <v>313</v>
      </c>
      <c r="K194" t="s">
        <v>314</v>
      </c>
      <c r="L194">
        <v>1368</v>
      </c>
      <c r="N194">
        <v>1011</v>
      </c>
      <c r="O194" t="s">
        <v>219</v>
      </c>
      <c r="P194" t="s">
        <v>219</v>
      </c>
      <c r="Q194">
        <v>1</v>
      </c>
      <c r="W194">
        <v>0</v>
      </c>
      <c r="X194">
        <v>1830593596</v>
      </c>
      <c r="Y194">
        <v>1.18</v>
      </c>
      <c r="AA194">
        <v>0</v>
      </c>
      <c r="AB194">
        <v>6.05</v>
      </c>
      <c r="AC194">
        <v>0.71</v>
      </c>
      <c r="AD194">
        <v>0</v>
      </c>
      <c r="AE194">
        <v>0</v>
      </c>
      <c r="AF194">
        <v>6.05</v>
      </c>
      <c r="AG194">
        <v>0.71</v>
      </c>
      <c r="AH194">
        <v>0</v>
      </c>
      <c r="AI194">
        <v>1</v>
      </c>
      <c r="AJ194">
        <v>1</v>
      </c>
      <c r="AK194">
        <v>1</v>
      </c>
      <c r="AL194">
        <v>1</v>
      </c>
      <c r="AN194">
        <v>0</v>
      </c>
      <c r="AO194">
        <v>1</v>
      </c>
      <c r="AP194">
        <v>0</v>
      </c>
      <c r="AQ194">
        <v>0</v>
      </c>
      <c r="AR194">
        <v>0</v>
      </c>
      <c r="AS194" t="s">
        <v>3</v>
      </c>
      <c r="AT194">
        <v>1.18</v>
      </c>
      <c r="AU194" t="s">
        <v>3</v>
      </c>
      <c r="AV194">
        <v>0</v>
      </c>
      <c r="AW194">
        <v>2</v>
      </c>
      <c r="AX194">
        <v>37602556</v>
      </c>
      <c r="AY194">
        <v>1</v>
      </c>
      <c r="AZ194">
        <v>0</v>
      </c>
      <c r="BA194">
        <v>194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Y194*Source!I310</f>
        <v>12.9682</v>
      </c>
      <c r="CY194">
        <f>AB194</f>
        <v>6.05</v>
      </c>
      <c r="CZ194">
        <f>AF194</f>
        <v>6.05</v>
      </c>
      <c r="DA194">
        <f>AJ194</f>
        <v>1</v>
      </c>
      <c r="DB194">
        <v>0</v>
      </c>
    </row>
    <row r="195" spans="1:106" x14ac:dyDescent="0.2">
      <c r="A195">
        <f>ROW(Source!A310)</f>
        <v>310</v>
      </c>
      <c r="B195">
        <v>37598633</v>
      </c>
      <c r="C195">
        <v>37600409</v>
      </c>
      <c r="D195">
        <v>34188395</v>
      </c>
      <c r="E195">
        <v>1</v>
      </c>
      <c r="F195">
        <v>1</v>
      </c>
      <c r="G195">
        <v>15</v>
      </c>
      <c r="H195">
        <v>2</v>
      </c>
      <c r="I195" t="s">
        <v>315</v>
      </c>
      <c r="J195" t="s">
        <v>316</v>
      </c>
      <c r="K195" t="s">
        <v>317</v>
      </c>
      <c r="L195">
        <v>1368</v>
      </c>
      <c r="N195">
        <v>1011</v>
      </c>
      <c r="O195" t="s">
        <v>219</v>
      </c>
      <c r="P195" t="s">
        <v>219</v>
      </c>
      <c r="Q195">
        <v>1</v>
      </c>
      <c r="W195">
        <v>0</v>
      </c>
      <c r="X195">
        <v>564802996</v>
      </c>
      <c r="Y195">
        <v>0.01</v>
      </c>
      <c r="AA195">
        <v>0</v>
      </c>
      <c r="AB195">
        <v>482.71</v>
      </c>
      <c r="AC195">
        <v>373.38</v>
      </c>
      <c r="AD195">
        <v>0</v>
      </c>
      <c r="AE195">
        <v>0</v>
      </c>
      <c r="AF195">
        <v>482.71</v>
      </c>
      <c r="AG195">
        <v>373.38</v>
      </c>
      <c r="AH195">
        <v>0</v>
      </c>
      <c r="AI195">
        <v>1</v>
      </c>
      <c r="AJ195">
        <v>1</v>
      </c>
      <c r="AK195">
        <v>1</v>
      </c>
      <c r="AL195">
        <v>1</v>
      </c>
      <c r="AN195">
        <v>0</v>
      </c>
      <c r="AO195">
        <v>1</v>
      </c>
      <c r="AP195">
        <v>0</v>
      </c>
      <c r="AQ195">
        <v>0</v>
      </c>
      <c r="AR195">
        <v>0</v>
      </c>
      <c r="AS195" t="s">
        <v>3</v>
      </c>
      <c r="AT195">
        <v>0.01</v>
      </c>
      <c r="AU195" t="s">
        <v>3</v>
      </c>
      <c r="AV195">
        <v>0</v>
      </c>
      <c r="AW195">
        <v>2</v>
      </c>
      <c r="AX195">
        <v>37602557</v>
      </c>
      <c r="AY195">
        <v>1</v>
      </c>
      <c r="AZ195">
        <v>0</v>
      </c>
      <c r="BA195">
        <v>195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Y195*Source!I310</f>
        <v>0.1099</v>
      </c>
      <c r="CY195">
        <f>AB195</f>
        <v>482.71</v>
      </c>
      <c r="CZ195">
        <f>AF195</f>
        <v>482.71</v>
      </c>
      <c r="DA195">
        <f>AJ195</f>
        <v>1</v>
      </c>
      <c r="DB195">
        <v>0</v>
      </c>
    </row>
    <row r="196" spans="1:106" x14ac:dyDescent="0.2">
      <c r="A196">
        <f>ROW(Source!A310)</f>
        <v>310</v>
      </c>
      <c r="B196">
        <v>37598633</v>
      </c>
      <c r="C196">
        <v>37600409</v>
      </c>
      <c r="D196">
        <v>34188225</v>
      </c>
      <c r="E196">
        <v>1</v>
      </c>
      <c r="F196">
        <v>1</v>
      </c>
      <c r="G196">
        <v>15</v>
      </c>
      <c r="H196">
        <v>2</v>
      </c>
      <c r="I196" t="s">
        <v>318</v>
      </c>
      <c r="J196" t="s">
        <v>319</v>
      </c>
      <c r="K196" t="s">
        <v>320</v>
      </c>
      <c r="L196">
        <v>1368</v>
      </c>
      <c r="N196">
        <v>1011</v>
      </c>
      <c r="O196" t="s">
        <v>219</v>
      </c>
      <c r="P196" t="s">
        <v>219</v>
      </c>
      <c r="Q196">
        <v>1</v>
      </c>
      <c r="W196">
        <v>0</v>
      </c>
      <c r="X196">
        <v>-418809971</v>
      </c>
      <c r="Y196">
        <v>2.64</v>
      </c>
      <c r="AA196">
        <v>0</v>
      </c>
      <c r="AB196">
        <v>342.24</v>
      </c>
      <c r="AC196">
        <v>296.26</v>
      </c>
      <c r="AD196">
        <v>0</v>
      </c>
      <c r="AE196">
        <v>0</v>
      </c>
      <c r="AF196">
        <v>342.24</v>
      </c>
      <c r="AG196">
        <v>296.26</v>
      </c>
      <c r="AH196">
        <v>0</v>
      </c>
      <c r="AI196">
        <v>1</v>
      </c>
      <c r="AJ196">
        <v>1</v>
      </c>
      <c r="AK196">
        <v>1</v>
      </c>
      <c r="AL196">
        <v>1</v>
      </c>
      <c r="AN196">
        <v>0</v>
      </c>
      <c r="AO196">
        <v>1</v>
      </c>
      <c r="AP196">
        <v>0</v>
      </c>
      <c r="AQ196">
        <v>0</v>
      </c>
      <c r="AR196">
        <v>0</v>
      </c>
      <c r="AS196" t="s">
        <v>3</v>
      </c>
      <c r="AT196">
        <v>2.64</v>
      </c>
      <c r="AU196" t="s">
        <v>3</v>
      </c>
      <c r="AV196">
        <v>0</v>
      </c>
      <c r="AW196">
        <v>2</v>
      </c>
      <c r="AX196">
        <v>37602558</v>
      </c>
      <c r="AY196">
        <v>1</v>
      </c>
      <c r="AZ196">
        <v>0</v>
      </c>
      <c r="BA196">
        <v>196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Y196*Source!I310</f>
        <v>29.0136</v>
      </c>
      <c r="CY196">
        <f>AB196</f>
        <v>342.24</v>
      </c>
      <c r="CZ196">
        <f>AF196</f>
        <v>342.24</v>
      </c>
      <c r="DA196">
        <f>AJ196</f>
        <v>1</v>
      </c>
      <c r="DB196">
        <v>0</v>
      </c>
    </row>
    <row r="197" spans="1:106" x14ac:dyDescent="0.2">
      <c r="A197">
        <f>ROW(Source!A310)</f>
        <v>310</v>
      </c>
      <c r="B197">
        <v>37598633</v>
      </c>
      <c r="C197">
        <v>37600409</v>
      </c>
      <c r="D197">
        <v>34190584</v>
      </c>
      <c r="E197">
        <v>1</v>
      </c>
      <c r="F197">
        <v>1</v>
      </c>
      <c r="G197">
        <v>15</v>
      </c>
      <c r="H197">
        <v>3</v>
      </c>
      <c r="I197" t="s">
        <v>321</v>
      </c>
      <c r="J197" t="s">
        <v>322</v>
      </c>
      <c r="K197" t="s">
        <v>323</v>
      </c>
      <c r="L197">
        <v>1327</v>
      </c>
      <c r="N197">
        <v>1005</v>
      </c>
      <c r="O197" t="s">
        <v>176</v>
      </c>
      <c r="P197" t="s">
        <v>176</v>
      </c>
      <c r="Q197">
        <v>1</v>
      </c>
      <c r="W197">
        <v>0</v>
      </c>
      <c r="X197">
        <v>1535195253</v>
      </c>
      <c r="Y197">
        <v>5.6</v>
      </c>
      <c r="AA197">
        <v>12.61</v>
      </c>
      <c r="AB197">
        <v>0</v>
      </c>
      <c r="AC197">
        <v>0</v>
      </c>
      <c r="AD197">
        <v>0</v>
      </c>
      <c r="AE197">
        <v>12.61</v>
      </c>
      <c r="AF197">
        <v>0</v>
      </c>
      <c r="AG197">
        <v>0</v>
      </c>
      <c r="AH197">
        <v>0</v>
      </c>
      <c r="AI197">
        <v>1</v>
      </c>
      <c r="AJ197">
        <v>1</v>
      </c>
      <c r="AK197">
        <v>1</v>
      </c>
      <c r="AL197">
        <v>1</v>
      </c>
      <c r="AN197">
        <v>0</v>
      </c>
      <c r="AO197">
        <v>1</v>
      </c>
      <c r="AP197">
        <v>1</v>
      </c>
      <c r="AQ197">
        <v>0</v>
      </c>
      <c r="AR197">
        <v>0</v>
      </c>
      <c r="AS197" t="s">
        <v>3</v>
      </c>
      <c r="AT197">
        <v>5.6</v>
      </c>
      <c r="AU197" t="s">
        <v>3</v>
      </c>
      <c r="AV197">
        <v>0</v>
      </c>
      <c r="AW197">
        <v>2</v>
      </c>
      <c r="AX197">
        <v>37602559</v>
      </c>
      <c r="AY197">
        <v>1</v>
      </c>
      <c r="AZ197">
        <v>0</v>
      </c>
      <c r="BA197">
        <v>197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Y197*Source!I310</f>
        <v>61.543999999999997</v>
      </c>
      <c r="CY197">
        <f>AA197</f>
        <v>12.61</v>
      </c>
      <c r="CZ197">
        <f>AE197</f>
        <v>12.61</v>
      </c>
      <c r="DA197">
        <f>AI197</f>
        <v>1</v>
      </c>
      <c r="DB197">
        <v>0</v>
      </c>
    </row>
    <row r="198" spans="1:106" x14ac:dyDescent="0.2">
      <c r="A198">
        <f>ROW(Source!A310)</f>
        <v>310</v>
      </c>
      <c r="B198">
        <v>37598633</v>
      </c>
      <c r="C198">
        <v>37600409</v>
      </c>
      <c r="D198">
        <v>34190671</v>
      </c>
      <c r="E198">
        <v>1</v>
      </c>
      <c r="F198">
        <v>1</v>
      </c>
      <c r="G198">
        <v>15</v>
      </c>
      <c r="H198">
        <v>3</v>
      </c>
      <c r="I198" t="s">
        <v>324</v>
      </c>
      <c r="J198" t="s">
        <v>325</v>
      </c>
      <c r="K198" t="s">
        <v>326</v>
      </c>
      <c r="L198">
        <v>1348</v>
      </c>
      <c r="N198">
        <v>1009</v>
      </c>
      <c r="O198" t="s">
        <v>29</v>
      </c>
      <c r="P198" t="s">
        <v>29</v>
      </c>
      <c r="Q198">
        <v>1000</v>
      </c>
      <c r="W198">
        <v>0</v>
      </c>
      <c r="X198">
        <v>-837791969</v>
      </c>
      <c r="Y198">
        <v>3.15E-3</v>
      </c>
      <c r="AA198">
        <v>100975.39</v>
      </c>
      <c r="AB198">
        <v>0</v>
      </c>
      <c r="AC198">
        <v>0</v>
      </c>
      <c r="AD198">
        <v>0</v>
      </c>
      <c r="AE198">
        <v>100975.39</v>
      </c>
      <c r="AF198">
        <v>0</v>
      </c>
      <c r="AG198">
        <v>0</v>
      </c>
      <c r="AH198">
        <v>0</v>
      </c>
      <c r="AI198">
        <v>1</v>
      </c>
      <c r="AJ198">
        <v>1</v>
      </c>
      <c r="AK198">
        <v>1</v>
      </c>
      <c r="AL198">
        <v>1</v>
      </c>
      <c r="AN198">
        <v>0</v>
      </c>
      <c r="AO198">
        <v>1</v>
      </c>
      <c r="AP198">
        <v>1</v>
      </c>
      <c r="AQ198">
        <v>0</v>
      </c>
      <c r="AR198">
        <v>0</v>
      </c>
      <c r="AS198" t="s">
        <v>3</v>
      </c>
      <c r="AT198">
        <v>3.15E-3</v>
      </c>
      <c r="AU198" t="s">
        <v>3</v>
      </c>
      <c r="AV198">
        <v>0</v>
      </c>
      <c r="AW198">
        <v>2</v>
      </c>
      <c r="AX198">
        <v>37602560</v>
      </c>
      <c r="AY198">
        <v>1</v>
      </c>
      <c r="AZ198">
        <v>0</v>
      </c>
      <c r="BA198">
        <v>198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Y198*Source!I310</f>
        <v>3.4618500000000003E-2</v>
      </c>
      <c r="CY198">
        <f>AA198</f>
        <v>100975.39</v>
      </c>
      <c r="CZ198">
        <f>AE198</f>
        <v>100975.39</v>
      </c>
      <c r="DA198">
        <f>AI198</f>
        <v>1</v>
      </c>
      <c r="DB198">
        <v>0</v>
      </c>
    </row>
    <row r="199" spans="1:106" x14ac:dyDescent="0.2">
      <c r="A199">
        <f>ROW(Source!A310)</f>
        <v>310</v>
      </c>
      <c r="B199">
        <v>37598633</v>
      </c>
      <c r="C199">
        <v>37600409</v>
      </c>
      <c r="D199">
        <v>34190888</v>
      </c>
      <c r="E199">
        <v>1</v>
      </c>
      <c r="F199">
        <v>1</v>
      </c>
      <c r="G199">
        <v>15</v>
      </c>
      <c r="H199">
        <v>3</v>
      </c>
      <c r="I199" t="s">
        <v>327</v>
      </c>
      <c r="J199" t="s">
        <v>328</v>
      </c>
      <c r="K199" t="s">
        <v>329</v>
      </c>
      <c r="L199">
        <v>1346</v>
      </c>
      <c r="N199">
        <v>1009</v>
      </c>
      <c r="O199" t="s">
        <v>330</v>
      </c>
      <c r="P199" t="s">
        <v>330</v>
      </c>
      <c r="Q199">
        <v>1</v>
      </c>
      <c r="W199">
        <v>0</v>
      </c>
      <c r="X199">
        <v>-1646851010</v>
      </c>
      <c r="Y199">
        <v>735</v>
      </c>
      <c r="AA199">
        <v>20.03</v>
      </c>
      <c r="AB199">
        <v>0</v>
      </c>
      <c r="AC199">
        <v>0</v>
      </c>
      <c r="AD199">
        <v>0</v>
      </c>
      <c r="AE199">
        <v>20.03</v>
      </c>
      <c r="AF199">
        <v>0</v>
      </c>
      <c r="AG199">
        <v>0</v>
      </c>
      <c r="AH199">
        <v>0</v>
      </c>
      <c r="AI199">
        <v>1</v>
      </c>
      <c r="AJ199">
        <v>1</v>
      </c>
      <c r="AK199">
        <v>1</v>
      </c>
      <c r="AL199">
        <v>1</v>
      </c>
      <c r="AN199">
        <v>0</v>
      </c>
      <c r="AO199">
        <v>1</v>
      </c>
      <c r="AP199">
        <v>1</v>
      </c>
      <c r="AQ199">
        <v>0</v>
      </c>
      <c r="AR199">
        <v>0</v>
      </c>
      <c r="AS199" t="s">
        <v>3</v>
      </c>
      <c r="AT199">
        <v>735</v>
      </c>
      <c r="AU199" t="s">
        <v>3</v>
      </c>
      <c r="AV199">
        <v>0</v>
      </c>
      <c r="AW199">
        <v>2</v>
      </c>
      <c r="AX199">
        <v>37602561</v>
      </c>
      <c r="AY199">
        <v>1</v>
      </c>
      <c r="AZ199">
        <v>0</v>
      </c>
      <c r="BA199">
        <v>199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Y199*Source!I310</f>
        <v>8077.6500000000005</v>
      </c>
      <c r="CY199">
        <f>AA199</f>
        <v>20.03</v>
      </c>
      <c r="CZ199">
        <f>AE199</f>
        <v>20.03</v>
      </c>
      <c r="DA199">
        <f>AI199</f>
        <v>1</v>
      </c>
      <c r="DB199">
        <v>0</v>
      </c>
    </row>
    <row r="200" spans="1:106" x14ac:dyDescent="0.2">
      <c r="A200">
        <f>ROW(Source!A310)</f>
        <v>310</v>
      </c>
      <c r="B200">
        <v>37598633</v>
      </c>
      <c r="C200">
        <v>37600409</v>
      </c>
      <c r="D200">
        <v>34190895</v>
      </c>
      <c r="E200">
        <v>1</v>
      </c>
      <c r="F200">
        <v>1</v>
      </c>
      <c r="G200">
        <v>15</v>
      </c>
      <c r="H200">
        <v>3</v>
      </c>
      <c r="I200" t="s">
        <v>331</v>
      </c>
      <c r="J200" t="s">
        <v>332</v>
      </c>
      <c r="K200" t="s">
        <v>333</v>
      </c>
      <c r="L200">
        <v>1346</v>
      </c>
      <c r="N200">
        <v>1009</v>
      </c>
      <c r="O200" t="s">
        <v>330</v>
      </c>
      <c r="P200" t="s">
        <v>330</v>
      </c>
      <c r="Q200">
        <v>1</v>
      </c>
      <c r="W200">
        <v>0</v>
      </c>
      <c r="X200">
        <v>1601901178</v>
      </c>
      <c r="Y200">
        <v>241.5</v>
      </c>
      <c r="AA200">
        <v>175.18</v>
      </c>
      <c r="AB200">
        <v>0</v>
      </c>
      <c r="AC200">
        <v>0</v>
      </c>
      <c r="AD200">
        <v>0</v>
      </c>
      <c r="AE200">
        <v>175.18</v>
      </c>
      <c r="AF200">
        <v>0</v>
      </c>
      <c r="AG200">
        <v>0</v>
      </c>
      <c r="AH200">
        <v>0</v>
      </c>
      <c r="AI200">
        <v>1</v>
      </c>
      <c r="AJ200">
        <v>1</v>
      </c>
      <c r="AK200">
        <v>1</v>
      </c>
      <c r="AL200">
        <v>1</v>
      </c>
      <c r="AN200">
        <v>0</v>
      </c>
      <c r="AO200">
        <v>1</v>
      </c>
      <c r="AP200">
        <v>1</v>
      </c>
      <c r="AQ200">
        <v>0</v>
      </c>
      <c r="AR200">
        <v>0</v>
      </c>
      <c r="AS200" t="s">
        <v>3</v>
      </c>
      <c r="AT200">
        <v>241.5</v>
      </c>
      <c r="AU200" t="s">
        <v>3</v>
      </c>
      <c r="AV200">
        <v>0</v>
      </c>
      <c r="AW200">
        <v>2</v>
      </c>
      <c r="AX200">
        <v>37602562</v>
      </c>
      <c r="AY200">
        <v>1</v>
      </c>
      <c r="AZ200">
        <v>0</v>
      </c>
      <c r="BA200">
        <v>200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Y200*Source!I310</f>
        <v>2654.085</v>
      </c>
      <c r="CY200">
        <f>AA200</f>
        <v>175.18</v>
      </c>
      <c r="CZ200">
        <f>AE200</f>
        <v>175.18</v>
      </c>
      <c r="DA200">
        <f>AI200</f>
        <v>1</v>
      </c>
      <c r="DB200">
        <v>0</v>
      </c>
    </row>
    <row r="201" spans="1:106" x14ac:dyDescent="0.2">
      <c r="A201">
        <f>ROW(Source!A310)</f>
        <v>310</v>
      </c>
      <c r="B201">
        <v>37598633</v>
      </c>
      <c r="C201">
        <v>37600409</v>
      </c>
      <c r="D201">
        <v>34188917</v>
      </c>
      <c r="E201">
        <v>1</v>
      </c>
      <c r="F201">
        <v>1</v>
      </c>
      <c r="G201">
        <v>15</v>
      </c>
      <c r="H201">
        <v>3</v>
      </c>
      <c r="I201" t="s">
        <v>334</v>
      </c>
      <c r="J201" t="s">
        <v>335</v>
      </c>
      <c r="K201" t="s">
        <v>336</v>
      </c>
      <c r="L201">
        <v>1348</v>
      </c>
      <c r="N201">
        <v>1009</v>
      </c>
      <c r="O201" t="s">
        <v>29</v>
      </c>
      <c r="P201" t="s">
        <v>29</v>
      </c>
      <c r="Q201">
        <v>1000</v>
      </c>
      <c r="W201">
        <v>0</v>
      </c>
      <c r="X201">
        <v>-946191126</v>
      </c>
      <c r="Y201">
        <v>5.2499999999999998E-2</v>
      </c>
      <c r="AA201">
        <v>360260.32</v>
      </c>
      <c r="AB201">
        <v>0</v>
      </c>
      <c r="AC201">
        <v>0</v>
      </c>
      <c r="AD201">
        <v>0</v>
      </c>
      <c r="AE201">
        <v>360260.32</v>
      </c>
      <c r="AF201">
        <v>0</v>
      </c>
      <c r="AG201">
        <v>0</v>
      </c>
      <c r="AH201">
        <v>0</v>
      </c>
      <c r="AI201">
        <v>1</v>
      </c>
      <c r="AJ201">
        <v>1</v>
      </c>
      <c r="AK201">
        <v>1</v>
      </c>
      <c r="AL201">
        <v>1</v>
      </c>
      <c r="AN201">
        <v>0</v>
      </c>
      <c r="AO201">
        <v>1</v>
      </c>
      <c r="AP201">
        <v>1</v>
      </c>
      <c r="AQ201">
        <v>0</v>
      </c>
      <c r="AR201">
        <v>0</v>
      </c>
      <c r="AS201" t="s">
        <v>3</v>
      </c>
      <c r="AT201">
        <v>5.2499999999999998E-2</v>
      </c>
      <c r="AU201" t="s">
        <v>3</v>
      </c>
      <c r="AV201">
        <v>0</v>
      </c>
      <c r="AW201">
        <v>2</v>
      </c>
      <c r="AX201">
        <v>37602563</v>
      </c>
      <c r="AY201">
        <v>1</v>
      </c>
      <c r="AZ201">
        <v>0</v>
      </c>
      <c r="BA201">
        <v>201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Y201*Source!I310</f>
        <v>0.57697500000000002</v>
      </c>
      <c r="CY201">
        <f>AA201</f>
        <v>360260.32</v>
      </c>
      <c r="CZ201">
        <f>AE201</f>
        <v>360260.32</v>
      </c>
      <c r="DA201">
        <f>AI201</f>
        <v>1</v>
      </c>
      <c r="DB201">
        <v>0</v>
      </c>
    </row>
    <row r="202" spans="1:106" x14ac:dyDescent="0.2">
      <c r="A202">
        <f>ROW(Source!A311)</f>
        <v>311</v>
      </c>
      <c r="B202">
        <v>37598633</v>
      </c>
      <c r="C202">
        <v>37600430</v>
      </c>
      <c r="D202">
        <v>34176775</v>
      </c>
      <c r="E202">
        <v>15</v>
      </c>
      <c r="F202">
        <v>1</v>
      </c>
      <c r="G202">
        <v>15</v>
      </c>
      <c r="H202">
        <v>1</v>
      </c>
      <c r="I202" t="s">
        <v>213</v>
      </c>
      <c r="J202" t="s">
        <v>3</v>
      </c>
      <c r="K202" t="s">
        <v>214</v>
      </c>
      <c r="L202">
        <v>1191</v>
      </c>
      <c r="N202">
        <v>1013</v>
      </c>
      <c r="O202" t="s">
        <v>215</v>
      </c>
      <c r="P202" t="s">
        <v>215</v>
      </c>
      <c r="Q202">
        <v>1</v>
      </c>
      <c r="W202">
        <v>0</v>
      </c>
      <c r="X202">
        <v>476480486</v>
      </c>
      <c r="Y202">
        <v>2.65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1</v>
      </c>
      <c r="AJ202">
        <v>1</v>
      </c>
      <c r="AK202">
        <v>1</v>
      </c>
      <c r="AL202">
        <v>1</v>
      </c>
      <c r="AN202">
        <v>0</v>
      </c>
      <c r="AO202">
        <v>1</v>
      </c>
      <c r="AP202">
        <v>0</v>
      </c>
      <c r="AQ202">
        <v>0</v>
      </c>
      <c r="AR202">
        <v>0</v>
      </c>
      <c r="AS202" t="s">
        <v>3</v>
      </c>
      <c r="AT202">
        <v>2.65</v>
      </c>
      <c r="AU202" t="s">
        <v>3</v>
      </c>
      <c r="AV202">
        <v>1</v>
      </c>
      <c r="AW202">
        <v>2</v>
      </c>
      <c r="AX202">
        <v>37602564</v>
      </c>
      <c r="AY202">
        <v>1</v>
      </c>
      <c r="AZ202">
        <v>0</v>
      </c>
      <c r="BA202">
        <v>202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Y202*Source!I311</f>
        <v>29.1235</v>
      </c>
      <c r="CY202">
        <f>AD202</f>
        <v>0</v>
      </c>
      <c r="CZ202">
        <f>AH202</f>
        <v>0</v>
      </c>
      <c r="DA202">
        <f>AL202</f>
        <v>1</v>
      </c>
      <c r="DB202">
        <v>0</v>
      </c>
    </row>
    <row r="203" spans="1:106" x14ac:dyDescent="0.2">
      <c r="A203">
        <f>ROW(Source!A311)</f>
        <v>311</v>
      </c>
      <c r="B203">
        <v>37598633</v>
      </c>
      <c r="C203">
        <v>37600430</v>
      </c>
      <c r="D203">
        <v>34187808</v>
      </c>
      <c r="E203">
        <v>1</v>
      </c>
      <c r="F203">
        <v>1</v>
      </c>
      <c r="G203">
        <v>15</v>
      </c>
      <c r="H203">
        <v>2</v>
      </c>
      <c r="I203" t="s">
        <v>309</v>
      </c>
      <c r="J203" t="s">
        <v>310</v>
      </c>
      <c r="K203" t="s">
        <v>311</v>
      </c>
      <c r="L203">
        <v>1368</v>
      </c>
      <c r="N203">
        <v>1011</v>
      </c>
      <c r="O203" t="s">
        <v>219</v>
      </c>
      <c r="P203" t="s">
        <v>219</v>
      </c>
      <c r="Q203">
        <v>1</v>
      </c>
      <c r="W203">
        <v>0</v>
      </c>
      <c r="X203">
        <v>-853369462</v>
      </c>
      <c r="Y203">
        <v>0.5</v>
      </c>
      <c r="AA203">
        <v>0</v>
      </c>
      <c r="AB203">
        <v>401.44</v>
      </c>
      <c r="AC203">
        <v>272.81</v>
      </c>
      <c r="AD203">
        <v>0</v>
      </c>
      <c r="AE203">
        <v>0</v>
      </c>
      <c r="AF203">
        <v>401.44</v>
      </c>
      <c r="AG203">
        <v>272.81</v>
      </c>
      <c r="AH203">
        <v>0</v>
      </c>
      <c r="AI203">
        <v>1</v>
      </c>
      <c r="AJ203">
        <v>1</v>
      </c>
      <c r="AK203">
        <v>1</v>
      </c>
      <c r="AL203">
        <v>1</v>
      </c>
      <c r="AN203">
        <v>0</v>
      </c>
      <c r="AO203">
        <v>1</v>
      </c>
      <c r="AP203">
        <v>0</v>
      </c>
      <c r="AQ203">
        <v>0</v>
      </c>
      <c r="AR203">
        <v>0</v>
      </c>
      <c r="AS203" t="s">
        <v>3</v>
      </c>
      <c r="AT203">
        <v>0.5</v>
      </c>
      <c r="AU203" t="s">
        <v>3</v>
      </c>
      <c r="AV203">
        <v>0</v>
      </c>
      <c r="AW203">
        <v>2</v>
      </c>
      <c r="AX203">
        <v>37602565</v>
      </c>
      <c r="AY203">
        <v>1</v>
      </c>
      <c r="AZ203">
        <v>0</v>
      </c>
      <c r="BA203">
        <v>203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Y203*Source!I311</f>
        <v>5.4950000000000001</v>
      </c>
      <c r="CY203">
        <f>AB203</f>
        <v>401.44</v>
      </c>
      <c r="CZ203">
        <f>AF203</f>
        <v>401.44</v>
      </c>
      <c r="DA203">
        <f>AJ203</f>
        <v>1</v>
      </c>
      <c r="DB203">
        <v>0</v>
      </c>
    </row>
    <row r="204" spans="1:106" x14ac:dyDescent="0.2">
      <c r="A204">
        <f>ROW(Source!A311)</f>
        <v>311</v>
      </c>
      <c r="B204">
        <v>37598633</v>
      </c>
      <c r="C204">
        <v>37600430</v>
      </c>
      <c r="D204">
        <v>34188225</v>
      </c>
      <c r="E204">
        <v>1</v>
      </c>
      <c r="F204">
        <v>1</v>
      </c>
      <c r="G204">
        <v>15</v>
      </c>
      <c r="H204">
        <v>2</v>
      </c>
      <c r="I204" t="s">
        <v>318</v>
      </c>
      <c r="J204" t="s">
        <v>319</v>
      </c>
      <c r="K204" t="s">
        <v>320</v>
      </c>
      <c r="L204">
        <v>1368</v>
      </c>
      <c r="N204">
        <v>1011</v>
      </c>
      <c r="O204" t="s">
        <v>219</v>
      </c>
      <c r="P204" t="s">
        <v>219</v>
      </c>
      <c r="Q204">
        <v>1</v>
      </c>
      <c r="W204">
        <v>0</v>
      </c>
      <c r="X204">
        <v>-418809971</v>
      </c>
      <c r="Y204">
        <v>0.5</v>
      </c>
      <c r="AA204">
        <v>0</v>
      </c>
      <c r="AB204">
        <v>342.24</v>
      </c>
      <c r="AC204">
        <v>296.26</v>
      </c>
      <c r="AD204">
        <v>0</v>
      </c>
      <c r="AE204">
        <v>0</v>
      </c>
      <c r="AF204">
        <v>342.24</v>
      </c>
      <c r="AG204">
        <v>296.26</v>
      </c>
      <c r="AH204">
        <v>0</v>
      </c>
      <c r="AI204">
        <v>1</v>
      </c>
      <c r="AJ204">
        <v>1</v>
      </c>
      <c r="AK204">
        <v>1</v>
      </c>
      <c r="AL204">
        <v>1</v>
      </c>
      <c r="AN204">
        <v>0</v>
      </c>
      <c r="AO204">
        <v>1</v>
      </c>
      <c r="AP204">
        <v>0</v>
      </c>
      <c r="AQ204">
        <v>0</v>
      </c>
      <c r="AR204">
        <v>0</v>
      </c>
      <c r="AS204" t="s">
        <v>3</v>
      </c>
      <c r="AT204">
        <v>0.5</v>
      </c>
      <c r="AU204" t="s">
        <v>3</v>
      </c>
      <c r="AV204">
        <v>0</v>
      </c>
      <c r="AW204">
        <v>2</v>
      </c>
      <c r="AX204">
        <v>37602566</v>
      </c>
      <c r="AY204">
        <v>1</v>
      </c>
      <c r="AZ204">
        <v>0</v>
      </c>
      <c r="BA204">
        <v>204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Y204*Source!I311</f>
        <v>5.4950000000000001</v>
      </c>
      <c r="CY204">
        <f>AB204</f>
        <v>342.24</v>
      </c>
      <c r="CZ204">
        <f>AF204</f>
        <v>342.24</v>
      </c>
      <c r="DA204">
        <f>AJ204</f>
        <v>1</v>
      </c>
      <c r="DB204">
        <v>0</v>
      </c>
    </row>
    <row r="205" spans="1:106" x14ac:dyDescent="0.2">
      <c r="A205">
        <f>ROW(Source!A311)</f>
        <v>311</v>
      </c>
      <c r="B205">
        <v>37598633</v>
      </c>
      <c r="C205">
        <v>37600430</v>
      </c>
      <c r="D205">
        <v>34190888</v>
      </c>
      <c r="E205">
        <v>1</v>
      </c>
      <c r="F205">
        <v>1</v>
      </c>
      <c r="G205">
        <v>15</v>
      </c>
      <c r="H205">
        <v>3</v>
      </c>
      <c r="I205" t="s">
        <v>327</v>
      </c>
      <c r="J205" t="s">
        <v>328</v>
      </c>
      <c r="K205" t="s">
        <v>329</v>
      </c>
      <c r="L205">
        <v>1346</v>
      </c>
      <c r="N205">
        <v>1009</v>
      </c>
      <c r="O205" t="s">
        <v>330</v>
      </c>
      <c r="P205" t="s">
        <v>330</v>
      </c>
      <c r="Q205">
        <v>1</v>
      </c>
      <c r="W205">
        <v>0</v>
      </c>
      <c r="X205">
        <v>-1646851010</v>
      </c>
      <c r="Y205">
        <v>147</v>
      </c>
      <c r="AA205">
        <v>20.03</v>
      </c>
      <c r="AB205">
        <v>0</v>
      </c>
      <c r="AC205">
        <v>0</v>
      </c>
      <c r="AD205">
        <v>0</v>
      </c>
      <c r="AE205">
        <v>20.03</v>
      </c>
      <c r="AF205">
        <v>0</v>
      </c>
      <c r="AG205">
        <v>0</v>
      </c>
      <c r="AH205">
        <v>0</v>
      </c>
      <c r="AI205">
        <v>1</v>
      </c>
      <c r="AJ205">
        <v>1</v>
      </c>
      <c r="AK205">
        <v>1</v>
      </c>
      <c r="AL205">
        <v>1</v>
      </c>
      <c r="AN205">
        <v>0</v>
      </c>
      <c r="AO205">
        <v>1</v>
      </c>
      <c r="AP205">
        <v>1</v>
      </c>
      <c r="AQ205">
        <v>0</v>
      </c>
      <c r="AR205">
        <v>0</v>
      </c>
      <c r="AS205" t="s">
        <v>3</v>
      </c>
      <c r="AT205">
        <v>147</v>
      </c>
      <c r="AU205" t="s">
        <v>3</v>
      </c>
      <c r="AV205">
        <v>0</v>
      </c>
      <c r="AW205">
        <v>2</v>
      </c>
      <c r="AX205">
        <v>37602567</v>
      </c>
      <c r="AY205">
        <v>1</v>
      </c>
      <c r="AZ205">
        <v>0</v>
      </c>
      <c r="BA205">
        <v>205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Y205*Source!I311</f>
        <v>1615.53</v>
      </c>
      <c r="CY205">
        <f>AA205</f>
        <v>20.03</v>
      </c>
      <c r="CZ205">
        <f>AE205</f>
        <v>20.03</v>
      </c>
      <c r="DA205">
        <f>AI205</f>
        <v>1</v>
      </c>
      <c r="DB205">
        <v>0</v>
      </c>
    </row>
    <row r="206" spans="1:106" x14ac:dyDescent="0.2">
      <c r="A206">
        <f>ROW(Source!A311)</f>
        <v>311</v>
      </c>
      <c r="B206">
        <v>37598633</v>
      </c>
      <c r="C206">
        <v>37600430</v>
      </c>
      <c r="D206">
        <v>34190895</v>
      </c>
      <c r="E206">
        <v>1</v>
      </c>
      <c r="F206">
        <v>1</v>
      </c>
      <c r="G206">
        <v>15</v>
      </c>
      <c r="H206">
        <v>3</v>
      </c>
      <c r="I206" t="s">
        <v>331</v>
      </c>
      <c r="J206" t="s">
        <v>332</v>
      </c>
      <c r="K206" t="s">
        <v>333</v>
      </c>
      <c r="L206">
        <v>1346</v>
      </c>
      <c r="N206">
        <v>1009</v>
      </c>
      <c r="O206" t="s">
        <v>330</v>
      </c>
      <c r="P206" t="s">
        <v>330</v>
      </c>
      <c r="Q206">
        <v>1</v>
      </c>
      <c r="W206">
        <v>0</v>
      </c>
      <c r="X206">
        <v>1601901178</v>
      </c>
      <c r="Y206">
        <v>42</v>
      </c>
      <c r="AA206">
        <v>175.18</v>
      </c>
      <c r="AB206">
        <v>0</v>
      </c>
      <c r="AC206">
        <v>0</v>
      </c>
      <c r="AD206">
        <v>0</v>
      </c>
      <c r="AE206">
        <v>175.18</v>
      </c>
      <c r="AF206">
        <v>0</v>
      </c>
      <c r="AG206">
        <v>0</v>
      </c>
      <c r="AH206">
        <v>0</v>
      </c>
      <c r="AI206">
        <v>1</v>
      </c>
      <c r="AJ206">
        <v>1</v>
      </c>
      <c r="AK206">
        <v>1</v>
      </c>
      <c r="AL206">
        <v>1</v>
      </c>
      <c r="AN206">
        <v>0</v>
      </c>
      <c r="AO206">
        <v>1</v>
      </c>
      <c r="AP206">
        <v>1</v>
      </c>
      <c r="AQ206">
        <v>0</v>
      </c>
      <c r="AR206">
        <v>0</v>
      </c>
      <c r="AS206" t="s">
        <v>3</v>
      </c>
      <c r="AT206">
        <v>42</v>
      </c>
      <c r="AU206" t="s">
        <v>3</v>
      </c>
      <c r="AV206">
        <v>0</v>
      </c>
      <c r="AW206">
        <v>2</v>
      </c>
      <c r="AX206">
        <v>37602568</v>
      </c>
      <c r="AY206">
        <v>1</v>
      </c>
      <c r="AZ206">
        <v>0</v>
      </c>
      <c r="BA206">
        <v>206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Y206*Source!I311</f>
        <v>461.58</v>
      </c>
      <c r="CY206">
        <f>AA206</f>
        <v>175.18</v>
      </c>
      <c r="CZ206">
        <f>AE206</f>
        <v>175.18</v>
      </c>
      <c r="DA206">
        <f>AI206</f>
        <v>1</v>
      </c>
      <c r="DB206">
        <v>0</v>
      </c>
    </row>
    <row r="207" spans="1:106" x14ac:dyDescent="0.2">
      <c r="A207">
        <f>ROW(Source!A311)</f>
        <v>311</v>
      </c>
      <c r="B207">
        <v>37598633</v>
      </c>
      <c r="C207">
        <v>37600430</v>
      </c>
      <c r="D207">
        <v>34188917</v>
      </c>
      <c r="E207">
        <v>1</v>
      </c>
      <c r="F207">
        <v>1</v>
      </c>
      <c r="G207">
        <v>15</v>
      </c>
      <c r="H207">
        <v>3</v>
      </c>
      <c r="I207" t="s">
        <v>334</v>
      </c>
      <c r="J207" t="s">
        <v>335</v>
      </c>
      <c r="K207" t="s">
        <v>336</v>
      </c>
      <c r="L207">
        <v>1348</v>
      </c>
      <c r="N207">
        <v>1009</v>
      </c>
      <c r="O207" t="s">
        <v>29</v>
      </c>
      <c r="P207" t="s">
        <v>29</v>
      </c>
      <c r="Q207">
        <v>1000</v>
      </c>
      <c r="W207">
        <v>0</v>
      </c>
      <c r="X207">
        <v>-946191126</v>
      </c>
      <c r="Y207">
        <v>1.0500000000000001E-2</v>
      </c>
      <c r="AA207">
        <v>360260.32</v>
      </c>
      <c r="AB207">
        <v>0</v>
      </c>
      <c r="AC207">
        <v>0</v>
      </c>
      <c r="AD207">
        <v>0</v>
      </c>
      <c r="AE207">
        <v>360260.32</v>
      </c>
      <c r="AF207">
        <v>0</v>
      </c>
      <c r="AG207">
        <v>0</v>
      </c>
      <c r="AH207">
        <v>0</v>
      </c>
      <c r="AI207">
        <v>1</v>
      </c>
      <c r="AJ207">
        <v>1</v>
      </c>
      <c r="AK207">
        <v>1</v>
      </c>
      <c r="AL207">
        <v>1</v>
      </c>
      <c r="AN207">
        <v>0</v>
      </c>
      <c r="AO207">
        <v>1</v>
      </c>
      <c r="AP207">
        <v>1</v>
      </c>
      <c r="AQ207">
        <v>0</v>
      </c>
      <c r="AR207">
        <v>0</v>
      </c>
      <c r="AS207" t="s">
        <v>3</v>
      </c>
      <c r="AT207">
        <v>1.0500000000000001E-2</v>
      </c>
      <c r="AU207" t="s">
        <v>3</v>
      </c>
      <c r="AV207">
        <v>0</v>
      </c>
      <c r="AW207">
        <v>2</v>
      </c>
      <c r="AX207">
        <v>37602569</v>
      </c>
      <c r="AY207">
        <v>1</v>
      </c>
      <c r="AZ207">
        <v>0</v>
      </c>
      <c r="BA207">
        <v>207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Y207*Source!I311</f>
        <v>0.11539500000000001</v>
      </c>
      <c r="CY207">
        <f>AA207</f>
        <v>360260.32</v>
      </c>
      <c r="CZ207">
        <f>AE207</f>
        <v>360260.32</v>
      </c>
      <c r="DA207">
        <f>AI207</f>
        <v>1</v>
      </c>
      <c r="DB207">
        <v>0</v>
      </c>
    </row>
    <row r="208" spans="1:106" x14ac:dyDescent="0.2">
      <c r="A208">
        <f>ROW(Source!A312)</f>
        <v>312</v>
      </c>
      <c r="B208">
        <v>37598633</v>
      </c>
      <c r="C208">
        <v>37600443</v>
      </c>
      <c r="D208">
        <v>34176775</v>
      </c>
      <c r="E208">
        <v>15</v>
      </c>
      <c r="F208">
        <v>1</v>
      </c>
      <c r="G208">
        <v>15</v>
      </c>
      <c r="H208">
        <v>1</v>
      </c>
      <c r="I208" t="s">
        <v>213</v>
      </c>
      <c r="J208" t="s">
        <v>3</v>
      </c>
      <c r="K208" t="s">
        <v>214</v>
      </c>
      <c r="L208">
        <v>1191</v>
      </c>
      <c r="N208">
        <v>1013</v>
      </c>
      <c r="O208" t="s">
        <v>215</v>
      </c>
      <c r="P208" t="s">
        <v>215</v>
      </c>
      <c r="Q208">
        <v>1</v>
      </c>
      <c r="W208">
        <v>0</v>
      </c>
      <c r="X208">
        <v>476480486</v>
      </c>
      <c r="Y208">
        <v>0.06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1</v>
      </c>
      <c r="AJ208">
        <v>1</v>
      </c>
      <c r="AK208">
        <v>1</v>
      </c>
      <c r="AL208">
        <v>1</v>
      </c>
      <c r="AN208">
        <v>0</v>
      </c>
      <c r="AO208">
        <v>1</v>
      </c>
      <c r="AP208">
        <v>0</v>
      </c>
      <c r="AQ208">
        <v>0</v>
      </c>
      <c r="AR208">
        <v>0</v>
      </c>
      <c r="AS208" t="s">
        <v>3</v>
      </c>
      <c r="AT208">
        <v>0.06</v>
      </c>
      <c r="AU208" t="s">
        <v>3</v>
      </c>
      <c r="AV208">
        <v>1</v>
      </c>
      <c r="AW208">
        <v>2</v>
      </c>
      <c r="AX208">
        <v>37602570</v>
      </c>
      <c r="AY208">
        <v>1</v>
      </c>
      <c r="AZ208">
        <v>0</v>
      </c>
      <c r="BA208">
        <v>208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Y208*Source!I312</f>
        <v>9.36</v>
      </c>
      <c r="CY208">
        <f>AD208</f>
        <v>0</v>
      </c>
      <c r="CZ208">
        <f>AH208</f>
        <v>0</v>
      </c>
      <c r="DA208">
        <f>AL208</f>
        <v>1</v>
      </c>
      <c r="DB208">
        <v>0</v>
      </c>
    </row>
    <row r="209" spans="1:106" x14ac:dyDescent="0.2">
      <c r="A209">
        <f>ROW(Source!A312)</f>
        <v>312</v>
      </c>
      <c r="B209">
        <v>37598633</v>
      </c>
      <c r="C209">
        <v>37600443</v>
      </c>
      <c r="D209">
        <v>34188259</v>
      </c>
      <c r="E209">
        <v>1</v>
      </c>
      <c r="F209">
        <v>1</v>
      </c>
      <c r="G209">
        <v>15</v>
      </c>
      <c r="H209">
        <v>2</v>
      </c>
      <c r="I209" t="s">
        <v>337</v>
      </c>
      <c r="J209" t="s">
        <v>338</v>
      </c>
      <c r="K209" t="s">
        <v>339</v>
      </c>
      <c r="L209">
        <v>1368</v>
      </c>
      <c r="N209">
        <v>1011</v>
      </c>
      <c r="O209" t="s">
        <v>219</v>
      </c>
      <c r="P209" t="s">
        <v>219</v>
      </c>
      <c r="Q209">
        <v>1</v>
      </c>
      <c r="W209">
        <v>0</v>
      </c>
      <c r="X209">
        <v>-1196398523</v>
      </c>
      <c r="Y209">
        <v>0.01</v>
      </c>
      <c r="AA209">
        <v>0</v>
      </c>
      <c r="AB209">
        <v>1756.99</v>
      </c>
      <c r="AC209">
        <v>313.11</v>
      </c>
      <c r="AD209">
        <v>0</v>
      </c>
      <c r="AE209">
        <v>0</v>
      </c>
      <c r="AF209">
        <v>1756.99</v>
      </c>
      <c r="AG209">
        <v>313.11</v>
      </c>
      <c r="AH209">
        <v>0</v>
      </c>
      <c r="AI209">
        <v>1</v>
      </c>
      <c r="AJ209">
        <v>1</v>
      </c>
      <c r="AK209">
        <v>1</v>
      </c>
      <c r="AL209">
        <v>1</v>
      </c>
      <c r="AN209">
        <v>0</v>
      </c>
      <c r="AO209">
        <v>1</v>
      </c>
      <c r="AP209">
        <v>0</v>
      </c>
      <c r="AQ209">
        <v>0</v>
      </c>
      <c r="AR209">
        <v>0</v>
      </c>
      <c r="AS209" t="s">
        <v>3</v>
      </c>
      <c r="AT209">
        <v>0.01</v>
      </c>
      <c r="AU209" t="s">
        <v>3</v>
      </c>
      <c r="AV209">
        <v>0</v>
      </c>
      <c r="AW209">
        <v>2</v>
      </c>
      <c r="AX209">
        <v>37602571</v>
      </c>
      <c r="AY209">
        <v>1</v>
      </c>
      <c r="AZ209">
        <v>0</v>
      </c>
      <c r="BA209">
        <v>209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Y209*Source!I312</f>
        <v>1.56</v>
      </c>
      <c r="CY209">
        <f>AB209</f>
        <v>1756.99</v>
      </c>
      <c r="CZ209">
        <f>AF209</f>
        <v>1756.99</v>
      </c>
      <c r="DA209">
        <f>AJ209</f>
        <v>1</v>
      </c>
      <c r="DB209">
        <v>0</v>
      </c>
    </row>
    <row r="210" spans="1:106" x14ac:dyDescent="0.2">
      <c r="A210">
        <f>ROW(Source!A312)</f>
        <v>312</v>
      </c>
      <c r="B210">
        <v>37598633</v>
      </c>
      <c r="C210">
        <v>37600443</v>
      </c>
      <c r="D210">
        <v>34189010</v>
      </c>
      <c r="E210">
        <v>1</v>
      </c>
      <c r="F210">
        <v>1</v>
      </c>
      <c r="G210">
        <v>15</v>
      </c>
      <c r="H210">
        <v>3</v>
      </c>
      <c r="I210" t="s">
        <v>340</v>
      </c>
      <c r="J210" t="s">
        <v>341</v>
      </c>
      <c r="K210" t="s">
        <v>342</v>
      </c>
      <c r="L210">
        <v>1348</v>
      </c>
      <c r="N210">
        <v>1009</v>
      </c>
      <c r="O210" t="s">
        <v>29</v>
      </c>
      <c r="P210" t="s">
        <v>29</v>
      </c>
      <c r="Q210">
        <v>1000</v>
      </c>
      <c r="W210">
        <v>0</v>
      </c>
      <c r="X210">
        <v>704671994</v>
      </c>
      <c r="Y210">
        <v>5.2999999999999998E-4</v>
      </c>
      <c r="AA210">
        <v>84127.039999999994</v>
      </c>
      <c r="AB210">
        <v>0</v>
      </c>
      <c r="AC210">
        <v>0</v>
      </c>
      <c r="AD210">
        <v>0</v>
      </c>
      <c r="AE210">
        <v>84127.039999999994</v>
      </c>
      <c r="AF210">
        <v>0</v>
      </c>
      <c r="AG210">
        <v>0</v>
      </c>
      <c r="AH210">
        <v>0</v>
      </c>
      <c r="AI210">
        <v>1</v>
      </c>
      <c r="AJ210">
        <v>1</v>
      </c>
      <c r="AK210">
        <v>1</v>
      </c>
      <c r="AL210">
        <v>1</v>
      </c>
      <c r="AN210">
        <v>0</v>
      </c>
      <c r="AO210">
        <v>1</v>
      </c>
      <c r="AP210">
        <v>1</v>
      </c>
      <c r="AQ210">
        <v>0</v>
      </c>
      <c r="AR210">
        <v>0</v>
      </c>
      <c r="AS210" t="s">
        <v>3</v>
      </c>
      <c r="AT210">
        <v>5.2999999999999998E-4</v>
      </c>
      <c r="AU210" t="s">
        <v>3</v>
      </c>
      <c r="AV210">
        <v>0</v>
      </c>
      <c r="AW210">
        <v>2</v>
      </c>
      <c r="AX210">
        <v>37602572</v>
      </c>
      <c r="AY210">
        <v>1</v>
      </c>
      <c r="AZ210">
        <v>0</v>
      </c>
      <c r="BA210">
        <v>210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Y210*Source!I312</f>
        <v>8.2680000000000003E-2</v>
      </c>
      <c r="CY210">
        <f>AA210</f>
        <v>84127.039999999994</v>
      </c>
      <c r="CZ210">
        <f>AE210</f>
        <v>84127.039999999994</v>
      </c>
      <c r="DA210">
        <f>AI210</f>
        <v>1</v>
      </c>
      <c r="DB210">
        <v>0</v>
      </c>
    </row>
    <row r="211" spans="1:106" x14ac:dyDescent="0.2">
      <c r="A211">
        <f>ROW(Source!A347)</f>
        <v>347</v>
      </c>
      <c r="B211">
        <v>37598633</v>
      </c>
      <c r="C211">
        <v>37600450</v>
      </c>
      <c r="D211">
        <v>34176775</v>
      </c>
      <c r="E211">
        <v>15</v>
      </c>
      <c r="F211">
        <v>1</v>
      </c>
      <c r="G211">
        <v>15</v>
      </c>
      <c r="H211">
        <v>1</v>
      </c>
      <c r="I211" t="s">
        <v>213</v>
      </c>
      <c r="J211" t="s">
        <v>3</v>
      </c>
      <c r="K211" t="s">
        <v>214</v>
      </c>
      <c r="L211">
        <v>1191</v>
      </c>
      <c r="N211">
        <v>1013</v>
      </c>
      <c r="O211" t="s">
        <v>215</v>
      </c>
      <c r="P211" t="s">
        <v>215</v>
      </c>
      <c r="Q211">
        <v>1</v>
      </c>
      <c r="W211">
        <v>0</v>
      </c>
      <c r="X211">
        <v>476480486</v>
      </c>
      <c r="Y211">
        <v>1.05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1</v>
      </c>
      <c r="AJ211">
        <v>1</v>
      </c>
      <c r="AK211">
        <v>1</v>
      </c>
      <c r="AL211">
        <v>1</v>
      </c>
      <c r="AN211">
        <v>0</v>
      </c>
      <c r="AO211">
        <v>1</v>
      </c>
      <c r="AP211">
        <v>0</v>
      </c>
      <c r="AQ211">
        <v>0</v>
      </c>
      <c r="AR211">
        <v>0</v>
      </c>
      <c r="AS211" t="s">
        <v>3</v>
      </c>
      <c r="AT211">
        <v>1.05</v>
      </c>
      <c r="AU211" t="s">
        <v>3</v>
      </c>
      <c r="AV211">
        <v>1</v>
      </c>
      <c r="AW211">
        <v>2</v>
      </c>
      <c r="AX211">
        <v>37602573</v>
      </c>
      <c r="AY211">
        <v>1</v>
      </c>
      <c r="AZ211">
        <v>0</v>
      </c>
      <c r="BA211">
        <v>211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Y211*Source!I347</f>
        <v>3.024E-2</v>
      </c>
      <c r="CY211">
        <f>AD211</f>
        <v>0</v>
      </c>
      <c r="CZ211">
        <f>AH211</f>
        <v>0</v>
      </c>
      <c r="DA211">
        <f>AL211</f>
        <v>1</v>
      </c>
      <c r="DB211">
        <v>0</v>
      </c>
    </row>
    <row r="212" spans="1:106" x14ac:dyDescent="0.2">
      <c r="A212">
        <f>ROW(Source!A347)</f>
        <v>347</v>
      </c>
      <c r="B212">
        <v>37598633</v>
      </c>
      <c r="C212">
        <v>37600450</v>
      </c>
      <c r="D212">
        <v>34188481</v>
      </c>
      <c r="E212">
        <v>1</v>
      </c>
      <c r="F212">
        <v>1</v>
      </c>
      <c r="G212">
        <v>15</v>
      </c>
      <c r="H212">
        <v>2</v>
      </c>
      <c r="I212" t="s">
        <v>274</v>
      </c>
      <c r="J212" t="s">
        <v>275</v>
      </c>
      <c r="K212" t="s">
        <v>276</v>
      </c>
      <c r="L212">
        <v>1368</v>
      </c>
      <c r="N212">
        <v>1011</v>
      </c>
      <c r="O212" t="s">
        <v>219</v>
      </c>
      <c r="P212" t="s">
        <v>219</v>
      </c>
      <c r="Q212">
        <v>1</v>
      </c>
      <c r="W212">
        <v>0</v>
      </c>
      <c r="X212">
        <v>219968779</v>
      </c>
      <c r="Y212">
        <v>0.82</v>
      </c>
      <c r="AA212">
        <v>0</v>
      </c>
      <c r="AB212">
        <v>770.83</v>
      </c>
      <c r="AC212">
        <v>421.3</v>
      </c>
      <c r="AD212">
        <v>0</v>
      </c>
      <c r="AE212">
        <v>0</v>
      </c>
      <c r="AF212">
        <v>770.83</v>
      </c>
      <c r="AG212">
        <v>421.3</v>
      </c>
      <c r="AH212">
        <v>0</v>
      </c>
      <c r="AI212">
        <v>1</v>
      </c>
      <c r="AJ212">
        <v>1</v>
      </c>
      <c r="AK212">
        <v>1</v>
      </c>
      <c r="AL212">
        <v>1</v>
      </c>
      <c r="AN212">
        <v>0</v>
      </c>
      <c r="AO212">
        <v>1</v>
      </c>
      <c r="AP212">
        <v>0</v>
      </c>
      <c r="AQ212">
        <v>0</v>
      </c>
      <c r="AR212">
        <v>0</v>
      </c>
      <c r="AS212" t="s">
        <v>3</v>
      </c>
      <c r="AT212">
        <v>0.82</v>
      </c>
      <c r="AU212" t="s">
        <v>3</v>
      </c>
      <c r="AV212">
        <v>0</v>
      </c>
      <c r="AW212">
        <v>2</v>
      </c>
      <c r="AX212">
        <v>37602574</v>
      </c>
      <c r="AY212">
        <v>1</v>
      </c>
      <c r="AZ212">
        <v>0</v>
      </c>
      <c r="BA212">
        <v>212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Y212*Source!I347</f>
        <v>2.3615999999999998E-2</v>
      </c>
      <c r="CY212">
        <f>AB212</f>
        <v>770.83</v>
      </c>
      <c r="CZ212">
        <f>AF212</f>
        <v>770.83</v>
      </c>
      <c r="DA212">
        <f>AJ212</f>
        <v>1</v>
      </c>
      <c r="DB212">
        <v>0</v>
      </c>
    </row>
    <row r="213" spans="1:106" x14ac:dyDescent="0.2">
      <c r="A213">
        <f>ROW(Source!A347)</f>
        <v>347</v>
      </c>
      <c r="B213">
        <v>37598633</v>
      </c>
      <c r="C213">
        <v>37600450</v>
      </c>
      <c r="D213">
        <v>34188505</v>
      </c>
      <c r="E213">
        <v>1</v>
      </c>
      <c r="F213">
        <v>1</v>
      </c>
      <c r="G213">
        <v>15</v>
      </c>
      <c r="H213">
        <v>2</v>
      </c>
      <c r="I213" t="s">
        <v>277</v>
      </c>
      <c r="J213" t="s">
        <v>278</v>
      </c>
      <c r="K213" t="s">
        <v>279</v>
      </c>
      <c r="L213">
        <v>1368</v>
      </c>
      <c r="N213">
        <v>1011</v>
      </c>
      <c r="O213" t="s">
        <v>219</v>
      </c>
      <c r="P213" t="s">
        <v>219</v>
      </c>
      <c r="Q213">
        <v>1</v>
      </c>
      <c r="W213">
        <v>0</v>
      </c>
      <c r="X213">
        <v>-335375421</v>
      </c>
      <c r="Y213">
        <v>3.54</v>
      </c>
      <c r="AA213">
        <v>0</v>
      </c>
      <c r="AB213">
        <v>1217.8599999999999</v>
      </c>
      <c r="AC213">
        <v>470.88</v>
      </c>
      <c r="AD213">
        <v>0</v>
      </c>
      <c r="AE213">
        <v>0</v>
      </c>
      <c r="AF213">
        <v>1217.8599999999999</v>
      </c>
      <c r="AG213">
        <v>470.88</v>
      </c>
      <c r="AH213">
        <v>0</v>
      </c>
      <c r="AI213">
        <v>1</v>
      </c>
      <c r="AJ213">
        <v>1</v>
      </c>
      <c r="AK213">
        <v>1</v>
      </c>
      <c r="AL213">
        <v>1</v>
      </c>
      <c r="AN213">
        <v>0</v>
      </c>
      <c r="AO213">
        <v>1</v>
      </c>
      <c r="AP213">
        <v>0</v>
      </c>
      <c r="AQ213">
        <v>0</v>
      </c>
      <c r="AR213">
        <v>0</v>
      </c>
      <c r="AS213" t="s">
        <v>3</v>
      </c>
      <c r="AT213">
        <v>3.54</v>
      </c>
      <c r="AU213" t="s">
        <v>3</v>
      </c>
      <c r="AV213">
        <v>0</v>
      </c>
      <c r="AW213">
        <v>2</v>
      </c>
      <c r="AX213">
        <v>37602575</v>
      </c>
      <c r="AY213">
        <v>1</v>
      </c>
      <c r="AZ213">
        <v>0</v>
      </c>
      <c r="BA213">
        <v>213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Y213*Source!I347</f>
        <v>0.101952</v>
      </c>
      <c r="CY213">
        <f>AB213</f>
        <v>1217.8599999999999</v>
      </c>
      <c r="CZ213">
        <f>AF213</f>
        <v>1217.8599999999999</v>
      </c>
      <c r="DA213">
        <f>AJ213</f>
        <v>1</v>
      </c>
      <c r="DB213">
        <v>0</v>
      </c>
    </row>
    <row r="214" spans="1:106" x14ac:dyDescent="0.2">
      <c r="A214">
        <f>ROW(Source!A348)</f>
        <v>348</v>
      </c>
      <c r="B214">
        <v>37598633</v>
      </c>
      <c r="C214">
        <v>37600457</v>
      </c>
      <c r="D214">
        <v>34187830</v>
      </c>
      <c r="E214">
        <v>1</v>
      </c>
      <c r="F214">
        <v>1</v>
      </c>
      <c r="G214">
        <v>15</v>
      </c>
      <c r="H214">
        <v>2</v>
      </c>
      <c r="I214" t="s">
        <v>235</v>
      </c>
      <c r="J214" t="s">
        <v>236</v>
      </c>
      <c r="K214" t="s">
        <v>237</v>
      </c>
      <c r="L214">
        <v>1368</v>
      </c>
      <c r="N214">
        <v>1011</v>
      </c>
      <c r="O214" t="s">
        <v>219</v>
      </c>
      <c r="P214" t="s">
        <v>219</v>
      </c>
      <c r="Q214">
        <v>1</v>
      </c>
      <c r="W214">
        <v>0</v>
      </c>
      <c r="X214">
        <v>-1411098748</v>
      </c>
      <c r="Y214">
        <v>3.1E-2</v>
      </c>
      <c r="AA214">
        <v>0</v>
      </c>
      <c r="AB214">
        <v>939.75</v>
      </c>
      <c r="AC214">
        <v>473.4</v>
      </c>
      <c r="AD214">
        <v>0</v>
      </c>
      <c r="AE214">
        <v>0</v>
      </c>
      <c r="AF214">
        <v>939.75</v>
      </c>
      <c r="AG214">
        <v>473.4</v>
      </c>
      <c r="AH214">
        <v>0</v>
      </c>
      <c r="AI214">
        <v>1</v>
      </c>
      <c r="AJ214">
        <v>1</v>
      </c>
      <c r="AK214">
        <v>1</v>
      </c>
      <c r="AL214">
        <v>1</v>
      </c>
      <c r="AN214">
        <v>0</v>
      </c>
      <c r="AO214">
        <v>1</v>
      </c>
      <c r="AP214">
        <v>0</v>
      </c>
      <c r="AQ214">
        <v>0</v>
      </c>
      <c r="AR214">
        <v>0</v>
      </c>
      <c r="AS214" t="s">
        <v>3</v>
      </c>
      <c r="AT214">
        <v>3.1E-2</v>
      </c>
      <c r="AU214" t="s">
        <v>3</v>
      </c>
      <c r="AV214">
        <v>0</v>
      </c>
      <c r="AW214">
        <v>2</v>
      </c>
      <c r="AX214">
        <v>37602576</v>
      </c>
      <c r="AY214">
        <v>1</v>
      </c>
      <c r="AZ214">
        <v>0</v>
      </c>
      <c r="BA214">
        <v>214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Y214*Source!I348</f>
        <v>8.9279380000000005E-2</v>
      </c>
      <c r="CY214">
        <f>AB214</f>
        <v>939.75</v>
      </c>
      <c r="CZ214">
        <f>AF214</f>
        <v>939.75</v>
      </c>
      <c r="DA214">
        <f>AJ214</f>
        <v>1</v>
      </c>
      <c r="DB214">
        <v>0</v>
      </c>
    </row>
    <row r="215" spans="1:106" x14ac:dyDescent="0.2">
      <c r="A215">
        <f>ROW(Source!A349)</f>
        <v>349</v>
      </c>
      <c r="B215">
        <v>37598633</v>
      </c>
      <c r="C215">
        <v>37600460</v>
      </c>
      <c r="D215">
        <v>34187830</v>
      </c>
      <c r="E215">
        <v>1</v>
      </c>
      <c r="F215">
        <v>1</v>
      </c>
      <c r="G215">
        <v>15</v>
      </c>
      <c r="H215">
        <v>2</v>
      </c>
      <c r="I215" t="s">
        <v>235</v>
      </c>
      <c r="J215" t="s">
        <v>236</v>
      </c>
      <c r="K215" t="s">
        <v>237</v>
      </c>
      <c r="L215">
        <v>1368</v>
      </c>
      <c r="N215">
        <v>1011</v>
      </c>
      <c r="O215" t="s">
        <v>219</v>
      </c>
      <c r="P215" t="s">
        <v>219</v>
      </c>
      <c r="Q215">
        <v>1</v>
      </c>
      <c r="W215">
        <v>0</v>
      </c>
      <c r="X215">
        <v>-1411098748</v>
      </c>
      <c r="Y215">
        <v>0.26</v>
      </c>
      <c r="AA215">
        <v>0</v>
      </c>
      <c r="AB215">
        <v>939.75</v>
      </c>
      <c r="AC215">
        <v>473.4</v>
      </c>
      <c r="AD215">
        <v>0</v>
      </c>
      <c r="AE215">
        <v>0</v>
      </c>
      <c r="AF215">
        <v>939.75</v>
      </c>
      <c r="AG215">
        <v>473.4</v>
      </c>
      <c r="AH215">
        <v>0</v>
      </c>
      <c r="AI215">
        <v>1</v>
      </c>
      <c r="AJ215">
        <v>1</v>
      </c>
      <c r="AK215">
        <v>1</v>
      </c>
      <c r="AL215">
        <v>1</v>
      </c>
      <c r="AN215">
        <v>0</v>
      </c>
      <c r="AO215">
        <v>1</v>
      </c>
      <c r="AP215">
        <v>1</v>
      </c>
      <c r="AQ215">
        <v>0</v>
      </c>
      <c r="AR215">
        <v>0</v>
      </c>
      <c r="AS215" t="s">
        <v>3</v>
      </c>
      <c r="AT215">
        <v>0.01</v>
      </c>
      <c r="AU215" t="s">
        <v>121</v>
      </c>
      <c r="AV215">
        <v>0</v>
      </c>
      <c r="AW215">
        <v>2</v>
      </c>
      <c r="AX215">
        <v>37602577</v>
      </c>
      <c r="AY215">
        <v>1</v>
      </c>
      <c r="AZ215">
        <v>0</v>
      </c>
      <c r="BA215">
        <v>215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Y215*Source!I349</f>
        <v>0.74879480000000009</v>
      </c>
      <c r="CY215">
        <f>AB215</f>
        <v>939.75</v>
      </c>
      <c r="CZ215">
        <f>AF215</f>
        <v>939.75</v>
      </c>
      <c r="DA215">
        <f>AJ215</f>
        <v>1</v>
      </c>
      <c r="DB215">
        <v>0</v>
      </c>
    </row>
    <row r="216" spans="1:106" x14ac:dyDescent="0.2">
      <c r="A216">
        <f>ROW(Source!A350)</f>
        <v>350</v>
      </c>
      <c r="B216">
        <v>37598633</v>
      </c>
      <c r="C216">
        <v>37600463</v>
      </c>
      <c r="D216">
        <v>34176775</v>
      </c>
      <c r="E216">
        <v>15</v>
      </c>
      <c r="F216">
        <v>1</v>
      </c>
      <c r="G216">
        <v>15</v>
      </c>
      <c r="H216">
        <v>1</v>
      </c>
      <c r="I216" t="s">
        <v>213</v>
      </c>
      <c r="J216" t="s">
        <v>3</v>
      </c>
      <c r="K216" t="s">
        <v>214</v>
      </c>
      <c r="L216">
        <v>1191</v>
      </c>
      <c r="N216">
        <v>1013</v>
      </c>
      <c r="O216" t="s">
        <v>215</v>
      </c>
      <c r="P216" t="s">
        <v>215</v>
      </c>
      <c r="Q216">
        <v>1</v>
      </c>
      <c r="W216">
        <v>0</v>
      </c>
      <c r="X216">
        <v>476480486</v>
      </c>
      <c r="Y216">
        <v>16.559999999999999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1</v>
      </c>
      <c r="AJ216">
        <v>1</v>
      </c>
      <c r="AK216">
        <v>1</v>
      </c>
      <c r="AL216">
        <v>1</v>
      </c>
      <c r="AN216">
        <v>0</v>
      </c>
      <c r="AO216">
        <v>1</v>
      </c>
      <c r="AP216">
        <v>0</v>
      </c>
      <c r="AQ216">
        <v>0</v>
      </c>
      <c r="AR216">
        <v>0</v>
      </c>
      <c r="AS216" t="s">
        <v>3</v>
      </c>
      <c r="AT216">
        <v>16.559999999999999</v>
      </c>
      <c r="AU216" t="s">
        <v>3</v>
      </c>
      <c r="AV216">
        <v>1</v>
      </c>
      <c r="AW216">
        <v>2</v>
      </c>
      <c r="AX216">
        <v>37602578</v>
      </c>
      <c r="AY216">
        <v>1</v>
      </c>
      <c r="AZ216">
        <v>0</v>
      </c>
      <c r="BA216">
        <v>216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Y216*Source!I350</f>
        <v>0.13247999999999999</v>
      </c>
      <c r="CY216">
        <f>AD216</f>
        <v>0</v>
      </c>
      <c r="CZ216">
        <f>AH216</f>
        <v>0</v>
      </c>
      <c r="DA216">
        <f>AL216</f>
        <v>1</v>
      </c>
      <c r="DB216">
        <v>0</v>
      </c>
    </row>
    <row r="217" spans="1:106" x14ac:dyDescent="0.2">
      <c r="A217">
        <f>ROW(Source!A350)</f>
        <v>350</v>
      </c>
      <c r="B217">
        <v>37598633</v>
      </c>
      <c r="C217">
        <v>37600463</v>
      </c>
      <c r="D217">
        <v>34188463</v>
      </c>
      <c r="E217">
        <v>1</v>
      </c>
      <c r="F217">
        <v>1</v>
      </c>
      <c r="G217">
        <v>15</v>
      </c>
      <c r="H217">
        <v>2</v>
      </c>
      <c r="I217" t="s">
        <v>226</v>
      </c>
      <c r="J217" t="s">
        <v>227</v>
      </c>
      <c r="K217" t="s">
        <v>228</v>
      </c>
      <c r="L217">
        <v>1368</v>
      </c>
      <c r="N217">
        <v>1011</v>
      </c>
      <c r="O217" t="s">
        <v>219</v>
      </c>
      <c r="P217" t="s">
        <v>219</v>
      </c>
      <c r="Q217">
        <v>1</v>
      </c>
      <c r="W217">
        <v>0</v>
      </c>
      <c r="X217">
        <v>1482077759</v>
      </c>
      <c r="Y217">
        <v>2.08</v>
      </c>
      <c r="AA217">
        <v>0</v>
      </c>
      <c r="AB217">
        <v>936.41</v>
      </c>
      <c r="AC217">
        <v>403.45</v>
      </c>
      <c r="AD217">
        <v>0</v>
      </c>
      <c r="AE217">
        <v>0</v>
      </c>
      <c r="AF217">
        <v>936.41</v>
      </c>
      <c r="AG217">
        <v>403.45</v>
      </c>
      <c r="AH217">
        <v>0</v>
      </c>
      <c r="AI217">
        <v>1</v>
      </c>
      <c r="AJ217">
        <v>1</v>
      </c>
      <c r="AK217">
        <v>1</v>
      </c>
      <c r="AL217">
        <v>1</v>
      </c>
      <c r="AN217">
        <v>0</v>
      </c>
      <c r="AO217">
        <v>1</v>
      </c>
      <c r="AP217">
        <v>0</v>
      </c>
      <c r="AQ217">
        <v>0</v>
      </c>
      <c r="AR217">
        <v>0</v>
      </c>
      <c r="AS217" t="s">
        <v>3</v>
      </c>
      <c r="AT217">
        <v>2.08</v>
      </c>
      <c r="AU217" t="s">
        <v>3</v>
      </c>
      <c r="AV217">
        <v>0</v>
      </c>
      <c r="AW217">
        <v>2</v>
      </c>
      <c r="AX217">
        <v>37602579</v>
      </c>
      <c r="AY217">
        <v>1</v>
      </c>
      <c r="AZ217">
        <v>0</v>
      </c>
      <c r="BA217">
        <v>217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Y217*Source!I350</f>
        <v>1.6640000000000002E-2</v>
      </c>
      <c r="CY217">
        <f>AB217</f>
        <v>936.41</v>
      </c>
      <c r="CZ217">
        <f>AF217</f>
        <v>936.41</v>
      </c>
      <c r="DA217">
        <f>AJ217</f>
        <v>1</v>
      </c>
      <c r="DB217">
        <v>0</v>
      </c>
    </row>
    <row r="218" spans="1:106" x14ac:dyDescent="0.2">
      <c r="A218">
        <f>ROW(Source!A350)</f>
        <v>350</v>
      </c>
      <c r="B218">
        <v>37598633</v>
      </c>
      <c r="C218">
        <v>37600463</v>
      </c>
      <c r="D218">
        <v>34188306</v>
      </c>
      <c r="E218">
        <v>1</v>
      </c>
      <c r="F218">
        <v>1</v>
      </c>
      <c r="G218">
        <v>15</v>
      </c>
      <c r="H218">
        <v>2</v>
      </c>
      <c r="I218" t="s">
        <v>238</v>
      </c>
      <c r="J218" t="s">
        <v>239</v>
      </c>
      <c r="K218" t="s">
        <v>240</v>
      </c>
      <c r="L218">
        <v>1368</v>
      </c>
      <c r="N218">
        <v>1011</v>
      </c>
      <c r="O218" t="s">
        <v>219</v>
      </c>
      <c r="P218" t="s">
        <v>219</v>
      </c>
      <c r="Q218">
        <v>1</v>
      </c>
      <c r="W218">
        <v>0</v>
      </c>
      <c r="X218">
        <v>1619837319</v>
      </c>
      <c r="Y218">
        <v>2.08</v>
      </c>
      <c r="AA218">
        <v>0</v>
      </c>
      <c r="AB218">
        <v>354.92</v>
      </c>
      <c r="AC218">
        <v>157.22999999999999</v>
      </c>
      <c r="AD218">
        <v>0</v>
      </c>
      <c r="AE218">
        <v>0</v>
      </c>
      <c r="AF218">
        <v>354.92</v>
      </c>
      <c r="AG218">
        <v>157.22999999999999</v>
      </c>
      <c r="AH218">
        <v>0</v>
      </c>
      <c r="AI218">
        <v>1</v>
      </c>
      <c r="AJ218">
        <v>1</v>
      </c>
      <c r="AK218">
        <v>1</v>
      </c>
      <c r="AL218">
        <v>1</v>
      </c>
      <c r="AN218">
        <v>0</v>
      </c>
      <c r="AO218">
        <v>1</v>
      </c>
      <c r="AP218">
        <v>0</v>
      </c>
      <c r="AQ218">
        <v>0</v>
      </c>
      <c r="AR218">
        <v>0</v>
      </c>
      <c r="AS218" t="s">
        <v>3</v>
      </c>
      <c r="AT218">
        <v>2.08</v>
      </c>
      <c r="AU218" t="s">
        <v>3</v>
      </c>
      <c r="AV218">
        <v>0</v>
      </c>
      <c r="AW218">
        <v>2</v>
      </c>
      <c r="AX218">
        <v>37602580</v>
      </c>
      <c r="AY218">
        <v>1</v>
      </c>
      <c r="AZ218">
        <v>0</v>
      </c>
      <c r="BA218">
        <v>218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Y218*Source!I350</f>
        <v>1.6640000000000002E-2</v>
      </c>
      <c r="CY218">
        <f>AB218</f>
        <v>354.92</v>
      </c>
      <c r="CZ218">
        <f>AF218</f>
        <v>354.92</v>
      </c>
      <c r="DA218">
        <f>AJ218</f>
        <v>1</v>
      </c>
      <c r="DB218">
        <v>0</v>
      </c>
    </row>
    <row r="219" spans="1:106" x14ac:dyDescent="0.2">
      <c r="A219">
        <f>ROW(Source!A350)</f>
        <v>350</v>
      </c>
      <c r="B219">
        <v>37598633</v>
      </c>
      <c r="C219">
        <v>37600463</v>
      </c>
      <c r="D219">
        <v>34188303</v>
      </c>
      <c r="E219">
        <v>1</v>
      </c>
      <c r="F219">
        <v>1</v>
      </c>
      <c r="G219">
        <v>15</v>
      </c>
      <c r="H219">
        <v>2</v>
      </c>
      <c r="I219" t="s">
        <v>241</v>
      </c>
      <c r="J219" t="s">
        <v>242</v>
      </c>
      <c r="K219" t="s">
        <v>243</v>
      </c>
      <c r="L219">
        <v>1368</v>
      </c>
      <c r="N219">
        <v>1011</v>
      </c>
      <c r="O219" t="s">
        <v>219</v>
      </c>
      <c r="P219" t="s">
        <v>219</v>
      </c>
      <c r="Q219">
        <v>1</v>
      </c>
      <c r="W219">
        <v>0</v>
      </c>
      <c r="X219">
        <v>-422229590</v>
      </c>
      <c r="Y219">
        <v>0.81</v>
      </c>
      <c r="AA219">
        <v>0</v>
      </c>
      <c r="AB219">
        <v>1527.34</v>
      </c>
      <c r="AC219">
        <v>334.88</v>
      </c>
      <c r="AD219">
        <v>0</v>
      </c>
      <c r="AE219">
        <v>0</v>
      </c>
      <c r="AF219">
        <v>1527.34</v>
      </c>
      <c r="AG219">
        <v>334.88</v>
      </c>
      <c r="AH219">
        <v>0</v>
      </c>
      <c r="AI219">
        <v>1</v>
      </c>
      <c r="AJ219">
        <v>1</v>
      </c>
      <c r="AK219">
        <v>1</v>
      </c>
      <c r="AL219">
        <v>1</v>
      </c>
      <c r="AN219">
        <v>0</v>
      </c>
      <c r="AO219">
        <v>1</v>
      </c>
      <c r="AP219">
        <v>0</v>
      </c>
      <c r="AQ219">
        <v>0</v>
      </c>
      <c r="AR219">
        <v>0</v>
      </c>
      <c r="AS219" t="s">
        <v>3</v>
      </c>
      <c r="AT219">
        <v>0.81</v>
      </c>
      <c r="AU219" t="s">
        <v>3</v>
      </c>
      <c r="AV219">
        <v>0</v>
      </c>
      <c r="AW219">
        <v>2</v>
      </c>
      <c r="AX219">
        <v>37602581</v>
      </c>
      <c r="AY219">
        <v>1</v>
      </c>
      <c r="AZ219">
        <v>0</v>
      </c>
      <c r="BA219">
        <v>219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Y219*Source!I350</f>
        <v>6.4800000000000005E-3</v>
      </c>
      <c r="CY219">
        <f>AB219</f>
        <v>1527.34</v>
      </c>
      <c r="CZ219">
        <f>AF219</f>
        <v>1527.34</v>
      </c>
      <c r="DA219">
        <f>AJ219</f>
        <v>1</v>
      </c>
      <c r="DB219">
        <v>0</v>
      </c>
    </row>
    <row r="220" spans="1:106" x14ac:dyDescent="0.2">
      <c r="A220">
        <f>ROW(Source!A350)</f>
        <v>350</v>
      </c>
      <c r="B220">
        <v>37598633</v>
      </c>
      <c r="C220">
        <v>37600463</v>
      </c>
      <c r="D220">
        <v>34188265</v>
      </c>
      <c r="E220">
        <v>1</v>
      </c>
      <c r="F220">
        <v>1</v>
      </c>
      <c r="G220">
        <v>15</v>
      </c>
      <c r="H220">
        <v>2</v>
      </c>
      <c r="I220" t="s">
        <v>223</v>
      </c>
      <c r="J220" t="s">
        <v>224</v>
      </c>
      <c r="K220" t="s">
        <v>225</v>
      </c>
      <c r="L220">
        <v>1368</v>
      </c>
      <c r="N220">
        <v>1011</v>
      </c>
      <c r="O220" t="s">
        <v>219</v>
      </c>
      <c r="P220" t="s">
        <v>219</v>
      </c>
      <c r="Q220">
        <v>1</v>
      </c>
      <c r="W220">
        <v>0</v>
      </c>
      <c r="X220">
        <v>-1706694778</v>
      </c>
      <c r="Y220">
        <v>1.94</v>
      </c>
      <c r="AA220">
        <v>0</v>
      </c>
      <c r="AB220">
        <v>1142.6300000000001</v>
      </c>
      <c r="AC220">
        <v>468.35</v>
      </c>
      <c r="AD220">
        <v>0</v>
      </c>
      <c r="AE220">
        <v>0</v>
      </c>
      <c r="AF220">
        <v>1142.6300000000001</v>
      </c>
      <c r="AG220">
        <v>468.35</v>
      </c>
      <c r="AH220">
        <v>0</v>
      </c>
      <c r="AI220">
        <v>1</v>
      </c>
      <c r="AJ220">
        <v>1</v>
      </c>
      <c r="AK220">
        <v>1</v>
      </c>
      <c r="AL220">
        <v>1</v>
      </c>
      <c r="AN220">
        <v>0</v>
      </c>
      <c r="AO220">
        <v>1</v>
      </c>
      <c r="AP220">
        <v>0</v>
      </c>
      <c r="AQ220">
        <v>0</v>
      </c>
      <c r="AR220">
        <v>0</v>
      </c>
      <c r="AS220" t="s">
        <v>3</v>
      </c>
      <c r="AT220">
        <v>1.94</v>
      </c>
      <c r="AU220" t="s">
        <v>3</v>
      </c>
      <c r="AV220">
        <v>0</v>
      </c>
      <c r="AW220">
        <v>2</v>
      </c>
      <c r="AX220">
        <v>37602582</v>
      </c>
      <c r="AY220">
        <v>1</v>
      </c>
      <c r="AZ220">
        <v>0</v>
      </c>
      <c r="BA220">
        <v>220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Y220*Source!I350</f>
        <v>1.5519999999999999E-2</v>
      </c>
      <c r="CY220">
        <f>AB220</f>
        <v>1142.6300000000001</v>
      </c>
      <c r="CZ220">
        <f>AF220</f>
        <v>1142.6300000000001</v>
      </c>
      <c r="DA220">
        <f>AJ220</f>
        <v>1</v>
      </c>
      <c r="DB220">
        <v>0</v>
      </c>
    </row>
    <row r="221" spans="1:106" x14ac:dyDescent="0.2">
      <c r="A221">
        <f>ROW(Source!A350)</f>
        <v>350</v>
      </c>
      <c r="B221">
        <v>37598633</v>
      </c>
      <c r="C221">
        <v>37600463</v>
      </c>
      <c r="D221">
        <v>34188313</v>
      </c>
      <c r="E221">
        <v>1</v>
      </c>
      <c r="F221">
        <v>1</v>
      </c>
      <c r="G221">
        <v>15</v>
      </c>
      <c r="H221">
        <v>2</v>
      </c>
      <c r="I221" t="s">
        <v>244</v>
      </c>
      <c r="J221" t="s">
        <v>245</v>
      </c>
      <c r="K221" t="s">
        <v>246</v>
      </c>
      <c r="L221">
        <v>1368</v>
      </c>
      <c r="N221">
        <v>1011</v>
      </c>
      <c r="O221" t="s">
        <v>219</v>
      </c>
      <c r="P221" t="s">
        <v>219</v>
      </c>
      <c r="Q221">
        <v>1</v>
      </c>
      <c r="W221">
        <v>0</v>
      </c>
      <c r="X221">
        <v>-882610335</v>
      </c>
      <c r="Y221">
        <v>0.65</v>
      </c>
      <c r="AA221">
        <v>0</v>
      </c>
      <c r="AB221">
        <v>1590.37</v>
      </c>
      <c r="AC221">
        <v>497.81</v>
      </c>
      <c r="AD221">
        <v>0</v>
      </c>
      <c r="AE221">
        <v>0</v>
      </c>
      <c r="AF221">
        <v>1590.37</v>
      </c>
      <c r="AG221">
        <v>497.81</v>
      </c>
      <c r="AH221">
        <v>0</v>
      </c>
      <c r="AI221">
        <v>1</v>
      </c>
      <c r="AJ221">
        <v>1</v>
      </c>
      <c r="AK221">
        <v>1</v>
      </c>
      <c r="AL221">
        <v>1</v>
      </c>
      <c r="AN221">
        <v>0</v>
      </c>
      <c r="AO221">
        <v>1</v>
      </c>
      <c r="AP221">
        <v>0</v>
      </c>
      <c r="AQ221">
        <v>0</v>
      </c>
      <c r="AR221">
        <v>0</v>
      </c>
      <c r="AS221" t="s">
        <v>3</v>
      </c>
      <c r="AT221">
        <v>0.65</v>
      </c>
      <c r="AU221" t="s">
        <v>3</v>
      </c>
      <c r="AV221">
        <v>0</v>
      </c>
      <c r="AW221">
        <v>2</v>
      </c>
      <c r="AX221">
        <v>37602583</v>
      </c>
      <c r="AY221">
        <v>1</v>
      </c>
      <c r="AZ221">
        <v>0</v>
      </c>
      <c r="BA221">
        <v>221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Y221*Source!I350</f>
        <v>5.2000000000000006E-3</v>
      </c>
      <c r="CY221">
        <f>AB221</f>
        <v>1590.37</v>
      </c>
      <c r="CZ221">
        <f>AF221</f>
        <v>1590.37</v>
      </c>
      <c r="DA221">
        <f>AJ221</f>
        <v>1</v>
      </c>
      <c r="DB221">
        <v>0</v>
      </c>
    </row>
    <row r="222" spans="1:106" x14ac:dyDescent="0.2">
      <c r="A222">
        <f>ROW(Source!A350)</f>
        <v>350</v>
      </c>
      <c r="B222">
        <v>37598633</v>
      </c>
      <c r="C222">
        <v>37600463</v>
      </c>
      <c r="D222">
        <v>34189650</v>
      </c>
      <c r="E222">
        <v>1</v>
      </c>
      <c r="F222">
        <v>1</v>
      </c>
      <c r="G222">
        <v>15</v>
      </c>
      <c r="H222">
        <v>3</v>
      </c>
      <c r="I222" t="s">
        <v>247</v>
      </c>
      <c r="J222" t="s">
        <v>248</v>
      </c>
      <c r="K222" t="s">
        <v>249</v>
      </c>
      <c r="L222">
        <v>1339</v>
      </c>
      <c r="N222">
        <v>1007</v>
      </c>
      <c r="O222" t="s">
        <v>115</v>
      </c>
      <c r="P222" t="s">
        <v>115</v>
      </c>
      <c r="Q222">
        <v>1</v>
      </c>
      <c r="W222">
        <v>0</v>
      </c>
      <c r="X222">
        <v>-1431983879</v>
      </c>
      <c r="Y222">
        <v>110</v>
      </c>
      <c r="AA222">
        <v>559.23</v>
      </c>
      <c r="AB222">
        <v>0</v>
      </c>
      <c r="AC222">
        <v>0</v>
      </c>
      <c r="AD222">
        <v>0</v>
      </c>
      <c r="AE222">
        <v>559.23</v>
      </c>
      <c r="AF222">
        <v>0</v>
      </c>
      <c r="AG222">
        <v>0</v>
      </c>
      <c r="AH222">
        <v>0</v>
      </c>
      <c r="AI222">
        <v>1</v>
      </c>
      <c r="AJ222">
        <v>1</v>
      </c>
      <c r="AK222">
        <v>1</v>
      </c>
      <c r="AL222">
        <v>1</v>
      </c>
      <c r="AN222">
        <v>0</v>
      </c>
      <c r="AO222">
        <v>1</v>
      </c>
      <c r="AP222">
        <v>1</v>
      </c>
      <c r="AQ222">
        <v>0</v>
      </c>
      <c r="AR222">
        <v>0</v>
      </c>
      <c r="AS222" t="s">
        <v>3</v>
      </c>
      <c r="AT222">
        <v>110</v>
      </c>
      <c r="AU222" t="s">
        <v>3</v>
      </c>
      <c r="AV222">
        <v>0</v>
      </c>
      <c r="AW222">
        <v>2</v>
      </c>
      <c r="AX222">
        <v>37602584</v>
      </c>
      <c r="AY222">
        <v>1</v>
      </c>
      <c r="AZ222">
        <v>0</v>
      </c>
      <c r="BA222">
        <v>222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Y222*Source!I350</f>
        <v>0.88</v>
      </c>
      <c r="CY222">
        <f>AA222</f>
        <v>559.23</v>
      </c>
      <c r="CZ222">
        <f>AE222</f>
        <v>559.23</v>
      </c>
      <c r="DA222">
        <f>AI222</f>
        <v>1</v>
      </c>
      <c r="DB222">
        <v>0</v>
      </c>
    </row>
    <row r="223" spans="1:106" x14ac:dyDescent="0.2">
      <c r="A223">
        <f>ROW(Source!A350)</f>
        <v>350</v>
      </c>
      <c r="B223">
        <v>37598633</v>
      </c>
      <c r="C223">
        <v>37600463</v>
      </c>
      <c r="D223">
        <v>34190363</v>
      </c>
      <c r="E223">
        <v>1</v>
      </c>
      <c r="F223">
        <v>1</v>
      </c>
      <c r="G223">
        <v>15</v>
      </c>
      <c r="H223">
        <v>3</v>
      </c>
      <c r="I223" t="s">
        <v>250</v>
      </c>
      <c r="J223" t="s">
        <v>251</v>
      </c>
      <c r="K223" t="s">
        <v>252</v>
      </c>
      <c r="L223">
        <v>1339</v>
      </c>
      <c r="N223">
        <v>1007</v>
      </c>
      <c r="O223" t="s">
        <v>115</v>
      </c>
      <c r="P223" t="s">
        <v>115</v>
      </c>
      <c r="Q223">
        <v>1</v>
      </c>
      <c r="W223">
        <v>0</v>
      </c>
      <c r="X223">
        <v>-156220903</v>
      </c>
      <c r="Y223">
        <v>5</v>
      </c>
      <c r="AA223">
        <v>28.77</v>
      </c>
      <c r="AB223">
        <v>0</v>
      </c>
      <c r="AC223">
        <v>0</v>
      </c>
      <c r="AD223">
        <v>0</v>
      </c>
      <c r="AE223">
        <v>28.77</v>
      </c>
      <c r="AF223">
        <v>0</v>
      </c>
      <c r="AG223">
        <v>0</v>
      </c>
      <c r="AH223">
        <v>0</v>
      </c>
      <c r="AI223">
        <v>1</v>
      </c>
      <c r="AJ223">
        <v>1</v>
      </c>
      <c r="AK223">
        <v>1</v>
      </c>
      <c r="AL223">
        <v>1</v>
      </c>
      <c r="AN223">
        <v>0</v>
      </c>
      <c r="AO223">
        <v>1</v>
      </c>
      <c r="AP223">
        <v>1</v>
      </c>
      <c r="AQ223">
        <v>0</v>
      </c>
      <c r="AR223">
        <v>0</v>
      </c>
      <c r="AS223" t="s">
        <v>3</v>
      </c>
      <c r="AT223">
        <v>5</v>
      </c>
      <c r="AU223" t="s">
        <v>3</v>
      </c>
      <c r="AV223">
        <v>0</v>
      </c>
      <c r="AW223">
        <v>2</v>
      </c>
      <c r="AX223">
        <v>37602585</v>
      </c>
      <c r="AY223">
        <v>1</v>
      </c>
      <c r="AZ223">
        <v>0</v>
      </c>
      <c r="BA223">
        <v>223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Y223*Source!I350</f>
        <v>0.04</v>
      </c>
      <c r="CY223">
        <f>AA223</f>
        <v>28.77</v>
      </c>
      <c r="CZ223">
        <f>AE223</f>
        <v>28.77</v>
      </c>
      <c r="DA223">
        <f>AI223</f>
        <v>1</v>
      </c>
      <c r="DB223">
        <v>0</v>
      </c>
    </row>
    <row r="224" spans="1:106" x14ac:dyDescent="0.2">
      <c r="A224">
        <f>ROW(Source!A351)</f>
        <v>351</v>
      </c>
      <c r="B224">
        <v>37598633</v>
      </c>
      <c r="C224">
        <v>37600480</v>
      </c>
      <c r="D224">
        <v>34176775</v>
      </c>
      <c r="E224">
        <v>15</v>
      </c>
      <c r="F224">
        <v>1</v>
      </c>
      <c r="G224">
        <v>15</v>
      </c>
      <c r="H224">
        <v>1</v>
      </c>
      <c r="I224" t="s">
        <v>213</v>
      </c>
      <c r="J224" t="s">
        <v>3</v>
      </c>
      <c r="K224" t="s">
        <v>214</v>
      </c>
      <c r="L224">
        <v>1191</v>
      </c>
      <c r="N224">
        <v>1013</v>
      </c>
      <c r="O224" t="s">
        <v>215</v>
      </c>
      <c r="P224" t="s">
        <v>215</v>
      </c>
      <c r="Q224">
        <v>1</v>
      </c>
      <c r="W224">
        <v>0</v>
      </c>
      <c r="X224">
        <v>476480486</v>
      </c>
      <c r="Y224">
        <v>24.84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1</v>
      </c>
      <c r="AJ224">
        <v>1</v>
      </c>
      <c r="AK224">
        <v>1</v>
      </c>
      <c r="AL224">
        <v>1</v>
      </c>
      <c r="AN224">
        <v>0</v>
      </c>
      <c r="AO224">
        <v>1</v>
      </c>
      <c r="AP224">
        <v>0</v>
      </c>
      <c r="AQ224">
        <v>0</v>
      </c>
      <c r="AR224">
        <v>0</v>
      </c>
      <c r="AS224" t="s">
        <v>3</v>
      </c>
      <c r="AT224">
        <v>24.84</v>
      </c>
      <c r="AU224" t="s">
        <v>3</v>
      </c>
      <c r="AV224">
        <v>1</v>
      </c>
      <c r="AW224">
        <v>2</v>
      </c>
      <c r="AX224">
        <v>37602586</v>
      </c>
      <c r="AY224">
        <v>1</v>
      </c>
      <c r="AZ224">
        <v>0</v>
      </c>
      <c r="BA224">
        <v>224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Y224*Source!I351</f>
        <v>0.19872000000000001</v>
      </c>
      <c r="CY224">
        <f>AD224</f>
        <v>0</v>
      </c>
      <c r="CZ224">
        <f>AH224</f>
        <v>0</v>
      </c>
      <c r="DA224">
        <f>AL224</f>
        <v>1</v>
      </c>
      <c r="DB224">
        <v>0</v>
      </c>
    </row>
    <row r="225" spans="1:106" x14ac:dyDescent="0.2">
      <c r="A225">
        <f>ROW(Source!A351)</f>
        <v>351</v>
      </c>
      <c r="B225">
        <v>37598633</v>
      </c>
      <c r="C225">
        <v>37600480</v>
      </c>
      <c r="D225">
        <v>34188482</v>
      </c>
      <c r="E225">
        <v>1</v>
      </c>
      <c r="F225">
        <v>1</v>
      </c>
      <c r="G225">
        <v>15</v>
      </c>
      <c r="H225">
        <v>2</v>
      </c>
      <c r="I225" t="s">
        <v>253</v>
      </c>
      <c r="J225" t="s">
        <v>254</v>
      </c>
      <c r="K225" t="s">
        <v>255</v>
      </c>
      <c r="L225">
        <v>1368</v>
      </c>
      <c r="N225">
        <v>1011</v>
      </c>
      <c r="O225" t="s">
        <v>219</v>
      </c>
      <c r="P225" t="s">
        <v>219</v>
      </c>
      <c r="Q225">
        <v>1</v>
      </c>
      <c r="W225">
        <v>0</v>
      </c>
      <c r="X225">
        <v>-1514203159</v>
      </c>
      <c r="Y225">
        <v>2.94</v>
      </c>
      <c r="AA225">
        <v>0</v>
      </c>
      <c r="AB225">
        <v>711.82</v>
      </c>
      <c r="AC225">
        <v>363.48</v>
      </c>
      <c r="AD225">
        <v>0</v>
      </c>
      <c r="AE225">
        <v>0</v>
      </c>
      <c r="AF225">
        <v>711.82</v>
      </c>
      <c r="AG225">
        <v>363.48</v>
      </c>
      <c r="AH225">
        <v>0</v>
      </c>
      <c r="AI225">
        <v>1</v>
      </c>
      <c r="AJ225">
        <v>1</v>
      </c>
      <c r="AK225">
        <v>1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S225" t="s">
        <v>3</v>
      </c>
      <c r="AT225">
        <v>2.94</v>
      </c>
      <c r="AU225" t="s">
        <v>3</v>
      </c>
      <c r="AV225">
        <v>0</v>
      </c>
      <c r="AW225">
        <v>2</v>
      </c>
      <c r="AX225">
        <v>37602587</v>
      </c>
      <c r="AY225">
        <v>1</v>
      </c>
      <c r="AZ225">
        <v>0</v>
      </c>
      <c r="BA225">
        <v>225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Y225*Source!I351</f>
        <v>2.3519999999999999E-2</v>
      </c>
      <c r="CY225">
        <f t="shared" ref="CY225:CY230" si="21">AB225</f>
        <v>711.82</v>
      </c>
      <c r="CZ225">
        <f t="shared" ref="CZ225:CZ230" si="22">AF225</f>
        <v>711.82</v>
      </c>
      <c r="DA225">
        <f t="shared" ref="DA225:DA230" si="23">AJ225</f>
        <v>1</v>
      </c>
      <c r="DB225">
        <v>0</v>
      </c>
    </row>
    <row r="226" spans="1:106" x14ac:dyDescent="0.2">
      <c r="A226">
        <f>ROW(Source!A351)</f>
        <v>351</v>
      </c>
      <c r="B226">
        <v>37598633</v>
      </c>
      <c r="C226">
        <v>37600480</v>
      </c>
      <c r="D226">
        <v>34188303</v>
      </c>
      <c r="E226">
        <v>1</v>
      </c>
      <c r="F226">
        <v>1</v>
      </c>
      <c r="G226">
        <v>15</v>
      </c>
      <c r="H226">
        <v>2</v>
      </c>
      <c r="I226" t="s">
        <v>241</v>
      </c>
      <c r="J226" t="s">
        <v>242</v>
      </c>
      <c r="K226" t="s">
        <v>243</v>
      </c>
      <c r="L226">
        <v>1368</v>
      </c>
      <c r="N226">
        <v>1011</v>
      </c>
      <c r="O226" t="s">
        <v>219</v>
      </c>
      <c r="P226" t="s">
        <v>219</v>
      </c>
      <c r="Q226">
        <v>1</v>
      </c>
      <c r="W226">
        <v>0</v>
      </c>
      <c r="X226">
        <v>-422229590</v>
      </c>
      <c r="Y226">
        <v>1.1399999999999999</v>
      </c>
      <c r="AA226">
        <v>0</v>
      </c>
      <c r="AB226">
        <v>1527.34</v>
      </c>
      <c r="AC226">
        <v>334.88</v>
      </c>
      <c r="AD226">
        <v>0</v>
      </c>
      <c r="AE226">
        <v>0</v>
      </c>
      <c r="AF226">
        <v>1527.34</v>
      </c>
      <c r="AG226">
        <v>334.88</v>
      </c>
      <c r="AH226">
        <v>0</v>
      </c>
      <c r="AI226">
        <v>1</v>
      </c>
      <c r="AJ226">
        <v>1</v>
      </c>
      <c r="AK226">
        <v>1</v>
      </c>
      <c r="AL226">
        <v>1</v>
      </c>
      <c r="AN226">
        <v>0</v>
      </c>
      <c r="AO226">
        <v>1</v>
      </c>
      <c r="AP226">
        <v>0</v>
      </c>
      <c r="AQ226">
        <v>0</v>
      </c>
      <c r="AR226">
        <v>0</v>
      </c>
      <c r="AS226" t="s">
        <v>3</v>
      </c>
      <c r="AT226">
        <v>1.1399999999999999</v>
      </c>
      <c r="AU226" t="s">
        <v>3</v>
      </c>
      <c r="AV226">
        <v>0</v>
      </c>
      <c r="AW226">
        <v>2</v>
      </c>
      <c r="AX226">
        <v>37602588</v>
      </c>
      <c r="AY226">
        <v>1</v>
      </c>
      <c r="AZ226">
        <v>0</v>
      </c>
      <c r="BA226">
        <v>226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Y226*Source!I351</f>
        <v>9.1199999999999996E-3</v>
      </c>
      <c r="CY226">
        <f t="shared" si="21"/>
        <v>1527.34</v>
      </c>
      <c r="CZ226">
        <f t="shared" si="22"/>
        <v>1527.34</v>
      </c>
      <c r="DA226">
        <f t="shared" si="23"/>
        <v>1</v>
      </c>
      <c r="DB226">
        <v>0</v>
      </c>
    </row>
    <row r="227" spans="1:106" x14ac:dyDescent="0.2">
      <c r="A227">
        <f>ROW(Source!A351)</f>
        <v>351</v>
      </c>
      <c r="B227">
        <v>37598633</v>
      </c>
      <c r="C227">
        <v>37600480</v>
      </c>
      <c r="D227">
        <v>34188322</v>
      </c>
      <c r="E227">
        <v>1</v>
      </c>
      <c r="F227">
        <v>1</v>
      </c>
      <c r="G227">
        <v>15</v>
      </c>
      <c r="H227">
        <v>2</v>
      </c>
      <c r="I227" t="s">
        <v>256</v>
      </c>
      <c r="J227" t="s">
        <v>257</v>
      </c>
      <c r="K227" t="s">
        <v>258</v>
      </c>
      <c r="L227">
        <v>1368</v>
      </c>
      <c r="N227">
        <v>1011</v>
      </c>
      <c r="O227" t="s">
        <v>219</v>
      </c>
      <c r="P227" t="s">
        <v>219</v>
      </c>
      <c r="Q227">
        <v>1</v>
      </c>
      <c r="W227">
        <v>0</v>
      </c>
      <c r="X227">
        <v>773118248</v>
      </c>
      <c r="Y227">
        <v>8.9600000000000009</v>
      </c>
      <c r="AA227">
        <v>0</v>
      </c>
      <c r="AB227">
        <v>984.76</v>
      </c>
      <c r="AC227">
        <v>387.07</v>
      </c>
      <c r="AD227">
        <v>0</v>
      </c>
      <c r="AE227">
        <v>0</v>
      </c>
      <c r="AF227">
        <v>984.76</v>
      </c>
      <c r="AG227">
        <v>387.07</v>
      </c>
      <c r="AH227">
        <v>0</v>
      </c>
      <c r="AI227">
        <v>1</v>
      </c>
      <c r="AJ227">
        <v>1</v>
      </c>
      <c r="AK227">
        <v>1</v>
      </c>
      <c r="AL227">
        <v>1</v>
      </c>
      <c r="AN227">
        <v>0</v>
      </c>
      <c r="AO227">
        <v>1</v>
      </c>
      <c r="AP227">
        <v>0</v>
      </c>
      <c r="AQ227">
        <v>0</v>
      </c>
      <c r="AR227">
        <v>0</v>
      </c>
      <c r="AS227" t="s">
        <v>3</v>
      </c>
      <c r="AT227">
        <v>8.9600000000000009</v>
      </c>
      <c r="AU227" t="s">
        <v>3</v>
      </c>
      <c r="AV227">
        <v>0</v>
      </c>
      <c r="AW227">
        <v>2</v>
      </c>
      <c r="AX227">
        <v>37602589</v>
      </c>
      <c r="AY227">
        <v>1</v>
      </c>
      <c r="AZ227">
        <v>0</v>
      </c>
      <c r="BA227">
        <v>227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Y227*Source!I351</f>
        <v>7.1680000000000008E-2</v>
      </c>
      <c r="CY227">
        <f t="shared" si="21"/>
        <v>984.76</v>
      </c>
      <c r="CZ227">
        <f t="shared" si="22"/>
        <v>984.76</v>
      </c>
      <c r="DA227">
        <f t="shared" si="23"/>
        <v>1</v>
      </c>
      <c r="DB227">
        <v>0</v>
      </c>
    </row>
    <row r="228" spans="1:106" x14ac:dyDescent="0.2">
      <c r="A228">
        <f>ROW(Source!A351)</f>
        <v>351</v>
      </c>
      <c r="B228">
        <v>37598633</v>
      </c>
      <c r="C228">
        <v>37600480</v>
      </c>
      <c r="D228">
        <v>34188321</v>
      </c>
      <c r="E228">
        <v>1</v>
      </c>
      <c r="F228">
        <v>1</v>
      </c>
      <c r="G228">
        <v>15</v>
      </c>
      <c r="H228">
        <v>2</v>
      </c>
      <c r="I228" t="s">
        <v>259</v>
      </c>
      <c r="J228" t="s">
        <v>260</v>
      </c>
      <c r="K228" t="s">
        <v>261</v>
      </c>
      <c r="L228">
        <v>1368</v>
      </c>
      <c r="N228">
        <v>1011</v>
      </c>
      <c r="O228" t="s">
        <v>219</v>
      </c>
      <c r="P228" t="s">
        <v>219</v>
      </c>
      <c r="Q228">
        <v>1</v>
      </c>
      <c r="W228">
        <v>0</v>
      </c>
      <c r="X228">
        <v>867169437</v>
      </c>
      <c r="Y228">
        <v>18.25</v>
      </c>
      <c r="AA228">
        <v>0</v>
      </c>
      <c r="AB228">
        <v>1482.31</v>
      </c>
      <c r="AC228">
        <v>526.20000000000005</v>
      </c>
      <c r="AD228">
        <v>0</v>
      </c>
      <c r="AE228">
        <v>0</v>
      </c>
      <c r="AF228">
        <v>1482.31</v>
      </c>
      <c r="AG228">
        <v>526.20000000000005</v>
      </c>
      <c r="AH228">
        <v>0</v>
      </c>
      <c r="AI228">
        <v>1</v>
      </c>
      <c r="AJ228">
        <v>1</v>
      </c>
      <c r="AK228">
        <v>1</v>
      </c>
      <c r="AL228">
        <v>1</v>
      </c>
      <c r="AN228">
        <v>0</v>
      </c>
      <c r="AO228">
        <v>1</v>
      </c>
      <c r="AP228">
        <v>0</v>
      </c>
      <c r="AQ228">
        <v>0</v>
      </c>
      <c r="AR228">
        <v>0</v>
      </c>
      <c r="AS228" t="s">
        <v>3</v>
      </c>
      <c r="AT228">
        <v>18.25</v>
      </c>
      <c r="AU228" t="s">
        <v>3</v>
      </c>
      <c r="AV228">
        <v>0</v>
      </c>
      <c r="AW228">
        <v>2</v>
      </c>
      <c r="AX228">
        <v>37602590</v>
      </c>
      <c r="AY228">
        <v>1</v>
      </c>
      <c r="AZ228">
        <v>0</v>
      </c>
      <c r="BA228">
        <v>228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Y228*Source!I351</f>
        <v>0.14599999999999999</v>
      </c>
      <c r="CY228">
        <f t="shared" si="21"/>
        <v>1482.31</v>
      </c>
      <c r="CZ228">
        <f t="shared" si="22"/>
        <v>1482.31</v>
      </c>
      <c r="DA228">
        <f t="shared" si="23"/>
        <v>1</v>
      </c>
      <c r="DB228">
        <v>0</v>
      </c>
    </row>
    <row r="229" spans="1:106" x14ac:dyDescent="0.2">
      <c r="A229">
        <f>ROW(Source!A351)</f>
        <v>351</v>
      </c>
      <c r="B229">
        <v>37598633</v>
      </c>
      <c r="C229">
        <v>37600480</v>
      </c>
      <c r="D229">
        <v>34188265</v>
      </c>
      <c r="E229">
        <v>1</v>
      </c>
      <c r="F229">
        <v>1</v>
      </c>
      <c r="G229">
        <v>15</v>
      </c>
      <c r="H229">
        <v>2</v>
      </c>
      <c r="I229" t="s">
        <v>223</v>
      </c>
      <c r="J229" t="s">
        <v>224</v>
      </c>
      <c r="K229" t="s">
        <v>225</v>
      </c>
      <c r="L229">
        <v>1368</v>
      </c>
      <c r="N229">
        <v>1011</v>
      </c>
      <c r="O229" t="s">
        <v>219</v>
      </c>
      <c r="P229" t="s">
        <v>219</v>
      </c>
      <c r="Q229">
        <v>1</v>
      </c>
      <c r="W229">
        <v>0</v>
      </c>
      <c r="X229">
        <v>-1706694778</v>
      </c>
      <c r="Y229">
        <v>2.2400000000000002</v>
      </c>
      <c r="AA229">
        <v>0</v>
      </c>
      <c r="AB229">
        <v>1142.6300000000001</v>
      </c>
      <c r="AC229">
        <v>468.35</v>
      </c>
      <c r="AD229">
        <v>0</v>
      </c>
      <c r="AE229">
        <v>0</v>
      </c>
      <c r="AF229">
        <v>1142.6300000000001</v>
      </c>
      <c r="AG229">
        <v>468.35</v>
      </c>
      <c r="AH229">
        <v>0</v>
      </c>
      <c r="AI229">
        <v>1</v>
      </c>
      <c r="AJ229">
        <v>1</v>
      </c>
      <c r="AK229">
        <v>1</v>
      </c>
      <c r="AL229">
        <v>1</v>
      </c>
      <c r="AN229">
        <v>0</v>
      </c>
      <c r="AO229">
        <v>1</v>
      </c>
      <c r="AP229">
        <v>0</v>
      </c>
      <c r="AQ229">
        <v>0</v>
      </c>
      <c r="AR229">
        <v>0</v>
      </c>
      <c r="AS229" t="s">
        <v>3</v>
      </c>
      <c r="AT229">
        <v>2.2400000000000002</v>
      </c>
      <c r="AU229" t="s">
        <v>3</v>
      </c>
      <c r="AV229">
        <v>0</v>
      </c>
      <c r="AW229">
        <v>2</v>
      </c>
      <c r="AX229">
        <v>37602591</v>
      </c>
      <c r="AY229">
        <v>1</v>
      </c>
      <c r="AZ229">
        <v>0</v>
      </c>
      <c r="BA229">
        <v>229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Y229*Source!I351</f>
        <v>1.7920000000000002E-2</v>
      </c>
      <c r="CY229">
        <f t="shared" si="21"/>
        <v>1142.6300000000001</v>
      </c>
      <c r="CZ229">
        <f t="shared" si="22"/>
        <v>1142.6300000000001</v>
      </c>
      <c r="DA229">
        <f t="shared" si="23"/>
        <v>1</v>
      </c>
      <c r="DB229">
        <v>0</v>
      </c>
    </row>
    <row r="230" spans="1:106" x14ac:dyDescent="0.2">
      <c r="A230">
        <f>ROW(Source!A351)</f>
        <v>351</v>
      </c>
      <c r="B230">
        <v>37598633</v>
      </c>
      <c r="C230">
        <v>37600480</v>
      </c>
      <c r="D230">
        <v>34188313</v>
      </c>
      <c r="E230">
        <v>1</v>
      </c>
      <c r="F230">
        <v>1</v>
      </c>
      <c r="G230">
        <v>15</v>
      </c>
      <c r="H230">
        <v>2</v>
      </c>
      <c r="I230" t="s">
        <v>244</v>
      </c>
      <c r="J230" t="s">
        <v>245</v>
      </c>
      <c r="K230" t="s">
        <v>246</v>
      </c>
      <c r="L230">
        <v>1368</v>
      </c>
      <c r="N230">
        <v>1011</v>
      </c>
      <c r="O230" t="s">
        <v>219</v>
      </c>
      <c r="P230" t="s">
        <v>219</v>
      </c>
      <c r="Q230">
        <v>1</v>
      </c>
      <c r="W230">
        <v>0</v>
      </c>
      <c r="X230">
        <v>-882610335</v>
      </c>
      <c r="Y230">
        <v>0.65</v>
      </c>
      <c r="AA230">
        <v>0</v>
      </c>
      <c r="AB230">
        <v>1590.37</v>
      </c>
      <c r="AC230">
        <v>497.81</v>
      </c>
      <c r="AD230">
        <v>0</v>
      </c>
      <c r="AE230">
        <v>0</v>
      </c>
      <c r="AF230">
        <v>1590.37</v>
      </c>
      <c r="AG230">
        <v>497.81</v>
      </c>
      <c r="AH230">
        <v>0</v>
      </c>
      <c r="AI230">
        <v>1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0</v>
      </c>
      <c r="AQ230">
        <v>0</v>
      </c>
      <c r="AR230">
        <v>0</v>
      </c>
      <c r="AS230" t="s">
        <v>3</v>
      </c>
      <c r="AT230">
        <v>0.65</v>
      </c>
      <c r="AU230" t="s">
        <v>3</v>
      </c>
      <c r="AV230">
        <v>0</v>
      </c>
      <c r="AW230">
        <v>2</v>
      </c>
      <c r="AX230">
        <v>37602592</v>
      </c>
      <c r="AY230">
        <v>1</v>
      </c>
      <c r="AZ230">
        <v>0</v>
      </c>
      <c r="BA230">
        <v>230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Y230*Source!I351</f>
        <v>5.2000000000000006E-3</v>
      </c>
      <c r="CY230">
        <f t="shared" si="21"/>
        <v>1590.37</v>
      </c>
      <c r="CZ230">
        <f t="shared" si="22"/>
        <v>1590.37</v>
      </c>
      <c r="DA230">
        <f t="shared" si="23"/>
        <v>1</v>
      </c>
      <c r="DB230">
        <v>0</v>
      </c>
    </row>
    <row r="231" spans="1:106" x14ac:dyDescent="0.2">
      <c r="A231">
        <f>ROW(Source!A351)</f>
        <v>351</v>
      </c>
      <c r="B231">
        <v>37598633</v>
      </c>
      <c r="C231">
        <v>37600480</v>
      </c>
      <c r="D231">
        <v>34189676</v>
      </c>
      <c r="E231">
        <v>1</v>
      </c>
      <c r="F231">
        <v>1</v>
      </c>
      <c r="G231">
        <v>15</v>
      </c>
      <c r="H231">
        <v>3</v>
      </c>
      <c r="I231" t="s">
        <v>262</v>
      </c>
      <c r="J231" t="s">
        <v>263</v>
      </c>
      <c r="K231" t="s">
        <v>264</v>
      </c>
      <c r="L231">
        <v>1339</v>
      </c>
      <c r="N231">
        <v>1007</v>
      </c>
      <c r="O231" t="s">
        <v>115</v>
      </c>
      <c r="P231" t="s">
        <v>115</v>
      </c>
      <c r="Q231">
        <v>1</v>
      </c>
      <c r="W231">
        <v>0</v>
      </c>
      <c r="X231">
        <v>812099054</v>
      </c>
      <c r="Y231">
        <v>126</v>
      </c>
      <c r="AA231">
        <v>1910.98</v>
      </c>
      <c r="AB231">
        <v>0</v>
      </c>
      <c r="AC231">
        <v>0</v>
      </c>
      <c r="AD231">
        <v>0</v>
      </c>
      <c r="AE231">
        <v>1910.98</v>
      </c>
      <c r="AF231">
        <v>0</v>
      </c>
      <c r="AG231">
        <v>0</v>
      </c>
      <c r="AH231">
        <v>0</v>
      </c>
      <c r="AI231">
        <v>1</v>
      </c>
      <c r="AJ231">
        <v>1</v>
      </c>
      <c r="AK231">
        <v>1</v>
      </c>
      <c r="AL231">
        <v>1</v>
      </c>
      <c r="AN231">
        <v>0</v>
      </c>
      <c r="AO231">
        <v>1</v>
      </c>
      <c r="AP231">
        <v>1</v>
      </c>
      <c r="AQ231">
        <v>0</v>
      </c>
      <c r="AR231">
        <v>0</v>
      </c>
      <c r="AS231" t="s">
        <v>3</v>
      </c>
      <c r="AT231">
        <v>126</v>
      </c>
      <c r="AU231" t="s">
        <v>3</v>
      </c>
      <c r="AV231">
        <v>0</v>
      </c>
      <c r="AW231">
        <v>2</v>
      </c>
      <c r="AX231">
        <v>37602593</v>
      </c>
      <c r="AY231">
        <v>1</v>
      </c>
      <c r="AZ231">
        <v>0</v>
      </c>
      <c r="BA231">
        <v>231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Y231*Source!I351</f>
        <v>1.008</v>
      </c>
      <c r="CY231">
        <f>AA231</f>
        <v>1910.98</v>
      </c>
      <c r="CZ231">
        <f>AE231</f>
        <v>1910.98</v>
      </c>
      <c r="DA231">
        <f>AI231</f>
        <v>1</v>
      </c>
      <c r="DB231">
        <v>0</v>
      </c>
    </row>
    <row r="232" spans="1:106" x14ac:dyDescent="0.2">
      <c r="A232">
        <f>ROW(Source!A351)</f>
        <v>351</v>
      </c>
      <c r="B232">
        <v>37598633</v>
      </c>
      <c r="C232">
        <v>37600480</v>
      </c>
      <c r="D232">
        <v>34190363</v>
      </c>
      <c r="E232">
        <v>1</v>
      </c>
      <c r="F232">
        <v>1</v>
      </c>
      <c r="G232">
        <v>15</v>
      </c>
      <c r="H232">
        <v>3</v>
      </c>
      <c r="I232" t="s">
        <v>250</v>
      </c>
      <c r="J232" t="s">
        <v>251</v>
      </c>
      <c r="K232" t="s">
        <v>252</v>
      </c>
      <c r="L232">
        <v>1339</v>
      </c>
      <c r="N232">
        <v>1007</v>
      </c>
      <c r="O232" t="s">
        <v>115</v>
      </c>
      <c r="P232" t="s">
        <v>115</v>
      </c>
      <c r="Q232">
        <v>1</v>
      </c>
      <c r="W232">
        <v>0</v>
      </c>
      <c r="X232">
        <v>-156220903</v>
      </c>
      <c r="Y232">
        <v>7</v>
      </c>
      <c r="AA232">
        <v>28.77</v>
      </c>
      <c r="AB232">
        <v>0</v>
      </c>
      <c r="AC232">
        <v>0</v>
      </c>
      <c r="AD232">
        <v>0</v>
      </c>
      <c r="AE232">
        <v>28.77</v>
      </c>
      <c r="AF232">
        <v>0</v>
      </c>
      <c r="AG232">
        <v>0</v>
      </c>
      <c r="AH232">
        <v>0</v>
      </c>
      <c r="AI232">
        <v>1</v>
      </c>
      <c r="AJ232">
        <v>1</v>
      </c>
      <c r="AK232">
        <v>1</v>
      </c>
      <c r="AL232">
        <v>1</v>
      </c>
      <c r="AN232">
        <v>0</v>
      </c>
      <c r="AO232">
        <v>1</v>
      </c>
      <c r="AP232">
        <v>1</v>
      </c>
      <c r="AQ232">
        <v>0</v>
      </c>
      <c r="AR232">
        <v>0</v>
      </c>
      <c r="AS232" t="s">
        <v>3</v>
      </c>
      <c r="AT232">
        <v>7</v>
      </c>
      <c r="AU232" t="s">
        <v>3</v>
      </c>
      <c r="AV232">
        <v>0</v>
      </c>
      <c r="AW232">
        <v>2</v>
      </c>
      <c r="AX232">
        <v>37602594</v>
      </c>
      <c r="AY232">
        <v>1</v>
      </c>
      <c r="AZ232">
        <v>0</v>
      </c>
      <c r="BA232">
        <v>232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Y232*Source!I351</f>
        <v>5.6000000000000001E-2</v>
      </c>
      <c r="CY232">
        <f>AA232</f>
        <v>28.77</v>
      </c>
      <c r="CZ232">
        <f>AE232</f>
        <v>28.77</v>
      </c>
      <c r="DA232">
        <f>AI232</f>
        <v>1</v>
      </c>
      <c r="DB232">
        <v>0</v>
      </c>
    </row>
    <row r="233" spans="1:106" x14ac:dyDescent="0.2">
      <c r="A233">
        <f>ROW(Source!A352)</f>
        <v>352</v>
      </c>
      <c r="B233">
        <v>37598633</v>
      </c>
      <c r="C233">
        <v>37600499</v>
      </c>
      <c r="D233">
        <v>34176775</v>
      </c>
      <c r="E233">
        <v>15</v>
      </c>
      <c r="F233">
        <v>1</v>
      </c>
      <c r="G233">
        <v>15</v>
      </c>
      <c r="H233">
        <v>1</v>
      </c>
      <c r="I233" t="s">
        <v>213</v>
      </c>
      <c r="J233" t="s">
        <v>3</v>
      </c>
      <c r="K233" t="s">
        <v>214</v>
      </c>
      <c r="L233">
        <v>1191</v>
      </c>
      <c r="N233">
        <v>1013</v>
      </c>
      <c r="O233" t="s">
        <v>215</v>
      </c>
      <c r="P233" t="s">
        <v>215</v>
      </c>
      <c r="Q233">
        <v>1</v>
      </c>
      <c r="W233">
        <v>0</v>
      </c>
      <c r="X233">
        <v>476480486</v>
      </c>
      <c r="Y233">
        <v>13.57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1</v>
      </c>
      <c r="AJ233">
        <v>1</v>
      </c>
      <c r="AK233">
        <v>1</v>
      </c>
      <c r="AL233">
        <v>1</v>
      </c>
      <c r="AN233">
        <v>0</v>
      </c>
      <c r="AO233">
        <v>1</v>
      </c>
      <c r="AP233">
        <v>0</v>
      </c>
      <c r="AQ233">
        <v>0</v>
      </c>
      <c r="AR233">
        <v>0</v>
      </c>
      <c r="AS233" t="s">
        <v>3</v>
      </c>
      <c r="AT233">
        <v>13.57</v>
      </c>
      <c r="AU233" t="s">
        <v>3</v>
      </c>
      <c r="AV233">
        <v>1</v>
      </c>
      <c r="AW233">
        <v>2</v>
      </c>
      <c r="AX233">
        <v>37602595</v>
      </c>
      <c r="AY233">
        <v>1</v>
      </c>
      <c r="AZ233">
        <v>0</v>
      </c>
      <c r="BA233">
        <v>233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Y233*Source!I352</f>
        <v>1.0856000000000001</v>
      </c>
      <c r="CY233">
        <f>AD233</f>
        <v>0</v>
      </c>
      <c r="CZ233">
        <f>AH233</f>
        <v>0</v>
      </c>
      <c r="DA233">
        <f>AL233</f>
        <v>1</v>
      </c>
      <c r="DB233">
        <v>0</v>
      </c>
    </row>
    <row r="234" spans="1:106" x14ac:dyDescent="0.2">
      <c r="A234">
        <f>ROW(Source!A352)</f>
        <v>352</v>
      </c>
      <c r="B234">
        <v>37598633</v>
      </c>
      <c r="C234">
        <v>37600499</v>
      </c>
      <c r="D234">
        <v>34188316</v>
      </c>
      <c r="E234">
        <v>1</v>
      </c>
      <c r="F234">
        <v>1</v>
      </c>
      <c r="G234">
        <v>15</v>
      </c>
      <c r="H234">
        <v>2</v>
      </c>
      <c r="I234" t="s">
        <v>265</v>
      </c>
      <c r="J234" t="s">
        <v>266</v>
      </c>
      <c r="K234" t="s">
        <v>267</v>
      </c>
      <c r="L234">
        <v>1368</v>
      </c>
      <c r="N234">
        <v>1011</v>
      </c>
      <c r="O234" t="s">
        <v>219</v>
      </c>
      <c r="P234" t="s">
        <v>219</v>
      </c>
      <c r="Q234">
        <v>1</v>
      </c>
      <c r="W234">
        <v>0</v>
      </c>
      <c r="X234">
        <v>1511709852</v>
      </c>
      <c r="Y234">
        <v>0.46</v>
      </c>
      <c r="AA234">
        <v>0</v>
      </c>
      <c r="AB234">
        <v>628.07000000000005</v>
      </c>
      <c r="AC234">
        <v>377.51</v>
      </c>
      <c r="AD234">
        <v>0</v>
      </c>
      <c r="AE234">
        <v>0</v>
      </c>
      <c r="AF234">
        <v>628.07000000000005</v>
      </c>
      <c r="AG234">
        <v>377.51</v>
      </c>
      <c r="AH234">
        <v>0</v>
      </c>
      <c r="AI234">
        <v>1</v>
      </c>
      <c r="AJ234">
        <v>1</v>
      </c>
      <c r="AK234">
        <v>1</v>
      </c>
      <c r="AL234">
        <v>1</v>
      </c>
      <c r="AN234">
        <v>0</v>
      </c>
      <c r="AO234">
        <v>1</v>
      </c>
      <c r="AP234">
        <v>0</v>
      </c>
      <c r="AQ234">
        <v>0</v>
      </c>
      <c r="AR234">
        <v>0</v>
      </c>
      <c r="AS234" t="s">
        <v>3</v>
      </c>
      <c r="AT234">
        <v>0.46</v>
      </c>
      <c r="AU234" t="s">
        <v>3</v>
      </c>
      <c r="AV234">
        <v>0</v>
      </c>
      <c r="AW234">
        <v>2</v>
      </c>
      <c r="AX234">
        <v>37602596</v>
      </c>
      <c r="AY234">
        <v>1</v>
      </c>
      <c r="AZ234">
        <v>0</v>
      </c>
      <c r="BA234">
        <v>234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Y234*Source!I352</f>
        <v>3.6799999999999999E-2</v>
      </c>
      <c r="CY234">
        <f>AB234</f>
        <v>628.07000000000005</v>
      </c>
      <c r="CZ234">
        <f>AF234</f>
        <v>628.07000000000005</v>
      </c>
      <c r="DA234">
        <f>AJ234</f>
        <v>1</v>
      </c>
      <c r="DB234">
        <v>0</v>
      </c>
    </row>
    <row r="235" spans="1:106" x14ac:dyDescent="0.2">
      <c r="A235">
        <f>ROW(Source!A352)</f>
        <v>352</v>
      </c>
      <c r="B235">
        <v>37598633</v>
      </c>
      <c r="C235">
        <v>37600499</v>
      </c>
      <c r="D235">
        <v>34188315</v>
      </c>
      <c r="E235">
        <v>1</v>
      </c>
      <c r="F235">
        <v>1</v>
      </c>
      <c r="G235">
        <v>15</v>
      </c>
      <c r="H235">
        <v>2</v>
      </c>
      <c r="I235" t="s">
        <v>268</v>
      </c>
      <c r="J235" t="s">
        <v>269</v>
      </c>
      <c r="K235" t="s">
        <v>270</v>
      </c>
      <c r="L235">
        <v>1368</v>
      </c>
      <c r="N235">
        <v>1011</v>
      </c>
      <c r="O235" t="s">
        <v>219</v>
      </c>
      <c r="P235" t="s">
        <v>219</v>
      </c>
      <c r="Q235">
        <v>1</v>
      </c>
      <c r="W235">
        <v>0</v>
      </c>
      <c r="X235">
        <v>941035487</v>
      </c>
      <c r="Y235">
        <v>1.39</v>
      </c>
      <c r="AA235">
        <v>0</v>
      </c>
      <c r="AB235">
        <v>681</v>
      </c>
      <c r="AC235">
        <v>389.98</v>
      </c>
      <c r="AD235">
        <v>0</v>
      </c>
      <c r="AE235">
        <v>0</v>
      </c>
      <c r="AF235">
        <v>681</v>
      </c>
      <c r="AG235">
        <v>389.98</v>
      </c>
      <c r="AH235">
        <v>0</v>
      </c>
      <c r="AI235">
        <v>1</v>
      </c>
      <c r="AJ235">
        <v>1</v>
      </c>
      <c r="AK235">
        <v>1</v>
      </c>
      <c r="AL235">
        <v>1</v>
      </c>
      <c r="AN235">
        <v>0</v>
      </c>
      <c r="AO235">
        <v>1</v>
      </c>
      <c r="AP235">
        <v>0</v>
      </c>
      <c r="AQ235">
        <v>0</v>
      </c>
      <c r="AR235">
        <v>0</v>
      </c>
      <c r="AS235" t="s">
        <v>3</v>
      </c>
      <c r="AT235">
        <v>1.39</v>
      </c>
      <c r="AU235" t="s">
        <v>3</v>
      </c>
      <c r="AV235">
        <v>0</v>
      </c>
      <c r="AW235">
        <v>2</v>
      </c>
      <c r="AX235">
        <v>37602597</v>
      </c>
      <c r="AY235">
        <v>1</v>
      </c>
      <c r="AZ235">
        <v>0</v>
      </c>
      <c r="BA235">
        <v>235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Y235*Source!I352</f>
        <v>0.11119999999999999</v>
      </c>
      <c r="CY235">
        <f>AB235</f>
        <v>681</v>
      </c>
      <c r="CZ235">
        <f>AF235</f>
        <v>681</v>
      </c>
      <c r="DA235">
        <f>AJ235</f>
        <v>1</v>
      </c>
      <c r="DB235">
        <v>0</v>
      </c>
    </row>
    <row r="236" spans="1:106" x14ac:dyDescent="0.2">
      <c r="A236">
        <f>ROW(Source!A352)</f>
        <v>352</v>
      </c>
      <c r="B236">
        <v>37598633</v>
      </c>
      <c r="C236">
        <v>37600499</v>
      </c>
      <c r="D236">
        <v>34191424</v>
      </c>
      <c r="E236">
        <v>1</v>
      </c>
      <c r="F236">
        <v>1</v>
      </c>
      <c r="G236">
        <v>15</v>
      </c>
      <c r="H236">
        <v>3</v>
      </c>
      <c r="I236" t="s">
        <v>271</v>
      </c>
      <c r="J236" t="s">
        <v>272</v>
      </c>
      <c r="K236" t="s">
        <v>273</v>
      </c>
      <c r="L236">
        <v>1348</v>
      </c>
      <c r="N236">
        <v>1009</v>
      </c>
      <c r="O236" t="s">
        <v>29</v>
      </c>
      <c r="P236" t="s">
        <v>29</v>
      </c>
      <c r="Q236">
        <v>1000</v>
      </c>
      <c r="W236">
        <v>0</v>
      </c>
      <c r="X236">
        <v>58957476</v>
      </c>
      <c r="Y236">
        <v>11.975</v>
      </c>
      <c r="AA236">
        <v>2314.4499999999998</v>
      </c>
      <c r="AB236">
        <v>0</v>
      </c>
      <c r="AC236">
        <v>0</v>
      </c>
      <c r="AD236">
        <v>0</v>
      </c>
      <c r="AE236">
        <v>2314.4499999999998</v>
      </c>
      <c r="AF236">
        <v>0</v>
      </c>
      <c r="AG236">
        <v>0</v>
      </c>
      <c r="AH236">
        <v>0</v>
      </c>
      <c r="AI236">
        <v>1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1</v>
      </c>
      <c r="AQ236">
        <v>0</v>
      </c>
      <c r="AR236">
        <v>0</v>
      </c>
      <c r="AS236" t="s">
        <v>3</v>
      </c>
      <c r="AT236">
        <v>9.58</v>
      </c>
      <c r="AU236" t="s">
        <v>54</v>
      </c>
      <c r="AV236">
        <v>0</v>
      </c>
      <c r="AW236">
        <v>2</v>
      </c>
      <c r="AX236">
        <v>37602598</v>
      </c>
      <c r="AY236">
        <v>1</v>
      </c>
      <c r="AZ236">
        <v>0</v>
      </c>
      <c r="BA236">
        <v>236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Y236*Source!I352</f>
        <v>0.95799999999999996</v>
      </c>
      <c r="CY236">
        <f>AA236</f>
        <v>2314.4499999999998</v>
      </c>
      <c r="CZ236">
        <f>AE236</f>
        <v>2314.4499999999998</v>
      </c>
      <c r="DA236">
        <f>AI236</f>
        <v>1</v>
      </c>
      <c r="DB236">
        <v>0</v>
      </c>
    </row>
    <row r="237" spans="1:106" x14ac:dyDescent="0.2">
      <c r="A237">
        <f>ROW(Source!A353)</f>
        <v>353</v>
      </c>
      <c r="B237">
        <v>37598633</v>
      </c>
      <c r="C237">
        <v>37600508</v>
      </c>
      <c r="D237">
        <v>34176775</v>
      </c>
      <c r="E237">
        <v>15</v>
      </c>
      <c r="F237">
        <v>1</v>
      </c>
      <c r="G237">
        <v>15</v>
      </c>
      <c r="H237">
        <v>1</v>
      </c>
      <c r="I237" t="s">
        <v>213</v>
      </c>
      <c r="J237" t="s">
        <v>3</v>
      </c>
      <c r="K237" t="s">
        <v>214</v>
      </c>
      <c r="L237">
        <v>1191</v>
      </c>
      <c r="N237">
        <v>1013</v>
      </c>
      <c r="O237" t="s">
        <v>215</v>
      </c>
      <c r="P237" t="s">
        <v>215</v>
      </c>
      <c r="Q237">
        <v>1</v>
      </c>
      <c r="W237">
        <v>0</v>
      </c>
      <c r="X237">
        <v>476480486</v>
      </c>
      <c r="Y237">
        <v>18.440000000000001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1</v>
      </c>
      <c r="AJ237">
        <v>1</v>
      </c>
      <c r="AK237">
        <v>1</v>
      </c>
      <c r="AL237">
        <v>1</v>
      </c>
      <c r="AN237">
        <v>0</v>
      </c>
      <c r="AO237">
        <v>1</v>
      </c>
      <c r="AP237">
        <v>0</v>
      </c>
      <c r="AQ237">
        <v>0</v>
      </c>
      <c r="AR237">
        <v>0</v>
      </c>
      <c r="AS237" t="s">
        <v>3</v>
      </c>
      <c r="AT237">
        <v>18.440000000000001</v>
      </c>
      <c r="AU237" t="s">
        <v>3</v>
      </c>
      <c r="AV237">
        <v>1</v>
      </c>
      <c r="AW237">
        <v>2</v>
      </c>
      <c r="AX237">
        <v>37602599</v>
      </c>
      <c r="AY237">
        <v>1</v>
      </c>
      <c r="AZ237">
        <v>0</v>
      </c>
      <c r="BA237">
        <v>237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Y237*Source!I353</f>
        <v>1.4752000000000001</v>
      </c>
      <c r="CY237">
        <f>AD237</f>
        <v>0</v>
      </c>
      <c r="CZ237">
        <f>AH237</f>
        <v>0</v>
      </c>
      <c r="DA237">
        <f>AL237</f>
        <v>1</v>
      </c>
      <c r="DB237">
        <v>0</v>
      </c>
    </row>
    <row r="238" spans="1:106" x14ac:dyDescent="0.2">
      <c r="A238">
        <f>ROW(Source!A353)</f>
        <v>353</v>
      </c>
      <c r="B238">
        <v>37598633</v>
      </c>
      <c r="C238">
        <v>37600508</v>
      </c>
      <c r="D238">
        <v>34187808</v>
      </c>
      <c r="E238">
        <v>1</v>
      </c>
      <c r="F238">
        <v>1</v>
      </c>
      <c r="G238">
        <v>15</v>
      </c>
      <c r="H238">
        <v>2</v>
      </c>
      <c r="I238" t="s">
        <v>309</v>
      </c>
      <c r="J238" t="s">
        <v>310</v>
      </c>
      <c r="K238" t="s">
        <v>311</v>
      </c>
      <c r="L238">
        <v>1368</v>
      </c>
      <c r="N238">
        <v>1011</v>
      </c>
      <c r="O238" t="s">
        <v>219</v>
      </c>
      <c r="P238" t="s">
        <v>219</v>
      </c>
      <c r="Q238">
        <v>1</v>
      </c>
      <c r="W238">
        <v>0</v>
      </c>
      <c r="X238">
        <v>-853369462</v>
      </c>
      <c r="Y238">
        <v>2.64</v>
      </c>
      <c r="AA238">
        <v>0</v>
      </c>
      <c r="AB238">
        <v>401.44</v>
      </c>
      <c r="AC238">
        <v>272.81</v>
      </c>
      <c r="AD238">
        <v>0</v>
      </c>
      <c r="AE238">
        <v>0</v>
      </c>
      <c r="AF238">
        <v>401.44</v>
      </c>
      <c r="AG238">
        <v>272.81</v>
      </c>
      <c r="AH238">
        <v>0</v>
      </c>
      <c r="AI238">
        <v>1</v>
      </c>
      <c r="AJ238">
        <v>1</v>
      </c>
      <c r="AK238">
        <v>1</v>
      </c>
      <c r="AL238">
        <v>1</v>
      </c>
      <c r="AN238">
        <v>0</v>
      </c>
      <c r="AO238">
        <v>1</v>
      </c>
      <c r="AP238">
        <v>0</v>
      </c>
      <c r="AQ238">
        <v>0</v>
      </c>
      <c r="AR238">
        <v>0</v>
      </c>
      <c r="AS238" t="s">
        <v>3</v>
      </c>
      <c r="AT238">
        <v>2.64</v>
      </c>
      <c r="AU238" t="s">
        <v>3</v>
      </c>
      <c r="AV238">
        <v>0</v>
      </c>
      <c r="AW238">
        <v>2</v>
      </c>
      <c r="AX238">
        <v>37602600</v>
      </c>
      <c r="AY238">
        <v>1</v>
      </c>
      <c r="AZ238">
        <v>0</v>
      </c>
      <c r="BA238">
        <v>238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Y238*Source!I353</f>
        <v>0.21120000000000003</v>
      </c>
      <c r="CY238">
        <f>AB238</f>
        <v>401.44</v>
      </c>
      <c r="CZ238">
        <f>AF238</f>
        <v>401.44</v>
      </c>
      <c r="DA238">
        <f>AJ238</f>
        <v>1</v>
      </c>
      <c r="DB238">
        <v>0</v>
      </c>
    </row>
    <row r="239" spans="1:106" x14ac:dyDescent="0.2">
      <c r="A239">
        <f>ROW(Source!A353)</f>
        <v>353</v>
      </c>
      <c r="B239">
        <v>37598633</v>
      </c>
      <c r="C239">
        <v>37600508</v>
      </c>
      <c r="D239">
        <v>34187761</v>
      </c>
      <c r="E239">
        <v>1</v>
      </c>
      <c r="F239">
        <v>1</v>
      </c>
      <c r="G239">
        <v>15</v>
      </c>
      <c r="H239">
        <v>2</v>
      </c>
      <c r="I239" t="s">
        <v>312</v>
      </c>
      <c r="J239" t="s">
        <v>313</v>
      </c>
      <c r="K239" t="s">
        <v>314</v>
      </c>
      <c r="L239">
        <v>1368</v>
      </c>
      <c r="N239">
        <v>1011</v>
      </c>
      <c r="O239" t="s">
        <v>219</v>
      </c>
      <c r="P239" t="s">
        <v>219</v>
      </c>
      <c r="Q239">
        <v>1</v>
      </c>
      <c r="W239">
        <v>0</v>
      </c>
      <c r="X239">
        <v>1830593596</v>
      </c>
      <c r="Y239">
        <v>1.18</v>
      </c>
      <c r="AA239">
        <v>0</v>
      </c>
      <c r="AB239">
        <v>6.05</v>
      </c>
      <c r="AC239">
        <v>0.71</v>
      </c>
      <c r="AD239">
        <v>0</v>
      </c>
      <c r="AE239">
        <v>0</v>
      </c>
      <c r="AF239">
        <v>6.05</v>
      </c>
      <c r="AG239">
        <v>0.71</v>
      </c>
      <c r="AH239">
        <v>0</v>
      </c>
      <c r="AI239">
        <v>1</v>
      </c>
      <c r="AJ239">
        <v>1</v>
      </c>
      <c r="AK239">
        <v>1</v>
      </c>
      <c r="AL239">
        <v>1</v>
      </c>
      <c r="AN239">
        <v>0</v>
      </c>
      <c r="AO239">
        <v>1</v>
      </c>
      <c r="AP239">
        <v>0</v>
      </c>
      <c r="AQ239">
        <v>0</v>
      </c>
      <c r="AR239">
        <v>0</v>
      </c>
      <c r="AS239" t="s">
        <v>3</v>
      </c>
      <c r="AT239">
        <v>1.18</v>
      </c>
      <c r="AU239" t="s">
        <v>3</v>
      </c>
      <c r="AV239">
        <v>0</v>
      </c>
      <c r="AW239">
        <v>2</v>
      </c>
      <c r="AX239">
        <v>37602601</v>
      </c>
      <c r="AY239">
        <v>1</v>
      </c>
      <c r="AZ239">
        <v>0</v>
      </c>
      <c r="BA239">
        <v>239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Y239*Source!I353</f>
        <v>9.4399999999999998E-2</v>
      </c>
      <c r="CY239">
        <f>AB239</f>
        <v>6.05</v>
      </c>
      <c r="CZ239">
        <f>AF239</f>
        <v>6.05</v>
      </c>
      <c r="DA239">
        <f>AJ239</f>
        <v>1</v>
      </c>
      <c r="DB239">
        <v>0</v>
      </c>
    </row>
    <row r="240" spans="1:106" x14ac:dyDescent="0.2">
      <c r="A240">
        <f>ROW(Source!A353)</f>
        <v>353</v>
      </c>
      <c r="B240">
        <v>37598633</v>
      </c>
      <c r="C240">
        <v>37600508</v>
      </c>
      <c r="D240">
        <v>34188395</v>
      </c>
      <c r="E240">
        <v>1</v>
      </c>
      <c r="F240">
        <v>1</v>
      </c>
      <c r="G240">
        <v>15</v>
      </c>
      <c r="H240">
        <v>2</v>
      </c>
      <c r="I240" t="s">
        <v>315</v>
      </c>
      <c r="J240" t="s">
        <v>316</v>
      </c>
      <c r="K240" t="s">
        <v>317</v>
      </c>
      <c r="L240">
        <v>1368</v>
      </c>
      <c r="N240">
        <v>1011</v>
      </c>
      <c r="O240" t="s">
        <v>219</v>
      </c>
      <c r="P240" t="s">
        <v>219</v>
      </c>
      <c r="Q240">
        <v>1</v>
      </c>
      <c r="W240">
        <v>0</v>
      </c>
      <c r="X240">
        <v>564802996</v>
      </c>
      <c r="Y240">
        <v>0.01</v>
      </c>
      <c r="AA240">
        <v>0</v>
      </c>
      <c r="AB240">
        <v>482.71</v>
      </c>
      <c r="AC240">
        <v>373.38</v>
      </c>
      <c r="AD240">
        <v>0</v>
      </c>
      <c r="AE240">
        <v>0</v>
      </c>
      <c r="AF240">
        <v>482.71</v>
      </c>
      <c r="AG240">
        <v>373.38</v>
      </c>
      <c r="AH240">
        <v>0</v>
      </c>
      <c r="AI240">
        <v>1</v>
      </c>
      <c r="AJ240">
        <v>1</v>
      </c>
      <c r="AK240">
        <v>1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S240" t="s">
        <v>3</v>
      </c>
      <c r="AT240">
        <v>0.01</v>
      </c>
      <c r="AU240" t="s">
        <v>3</v>
      </c>
      <c r="AV240">
        <v>0</v>
      </c>
      <c r="AW240">
        <v>2</v>
      </c>
      <c r="AX240">
        <v>37602602</v>
      </c>
      <c r="AY240">
        <v>1</v>
      </c>
      <c r="AZ240">
        <v>0</v>
      </c>
      <c r="BA240">
        <v>240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Y240*Source!I353</f>
        <v>8.0000000000000004E-4</v>
      </c>
      <c r="CY240">
        <f>AB240</f>
        <v>482.71</v>
      </c>
      <c r="CZ240">
        <f>AF240</f>
        <v>482.71</v>
      </c>
      <c r="DA240">
        <f>AJ240</f>
        <v>1</v>
      </c>
      <c r="DB240">
        <v>0</v>
      </c>
    </row>
    <row r="241" spans="1:106" x14ac:dyDescent="0.2">
      <c r="A241">
        <f>ROW(Source!A353)</f>
        <v>353</v>
      </c>
      <c r="B241">
        <v>37598633</v>
      </c>
      <c r="C241">
        <v>37600508</v>
      </c>
      <c r="D241">
        <v>34188225</v>
      </c>
      <c r="E241">
        <v>1</v>
      </c>
      <c r="F241">
        <v>1</v>
      </c>
      <c r="G241">
        <v>15</v>
      </c>
      <c r="H241">
        <v>2</v>
      </c>
      <c r="I241" t="s">
        <v>318</v>
      </c>
      <c r="J241" t="s">
        <v>319</v>
      </c>
      <c r="K241" t="s">
        <v>320</v>
      </c>
      <c r="L241">
        <v>1368</v>
      </c>
      <c r="N241">
        <v>1011</v>
      </c>
      <c r="O241" t="s">
        <v>219</v>
      </c>
      <c r="P241" t="s">
        <v>219</v>
      </c>
      <c r="Q241">
        <v>1</v>
      </c>
      <c r="W241">
        <v>0</v>
      </c>
      <c r="X241">
        <v>-418809971</v>
      </c>
      <c r="Y241">
        <v>2.64</v>
      </c>
      <c r="AA241">
        <v>0</v>
      </c>
      <c r="AB241">
        <v>342.24</v>
      </c>
      <c r="AC241">
        <v>296.26</v>
      </c>
      <c r="AD241">
        <v>0</v>
      </c>
      <c r="AE241">
        <v>0</v>
      </c>
      <c r="AF241">
        <v>342.24</v>
      </c>
      <c r="AG241">
        <v>296.26</v>
      </c>
      <c r="AH241">
        <v>0</v>
      </c>
      <c r="AI241">
        <v>1</v>
      </c>
      <c r="AJ241">
        <v>1</v>
      </c>
      <c r="AK241">
        <v>1</v>
      </c>
      <c r="AL241">
        <v>1</v>
      </c>
      <c r="AN241">
        <v>0</v>
      </c>
      <c r="AO241">
        <v>1</v>
      </c>
      <c r="AP241">
        <v>0</v>
      </c>
      <c r="AQ241">
        <v>0</v>
      </c>
      <c r="AR241">
        <v>0</v>
      </c>
      <c r="AS241" t="s">
        <v>3</v>
      </c>
      <c r="AT241">
        <v>2.64</v>
      </c>
      <c r="AU241" t="s">
        <v>3</v>
      </c>
      <c r="AV241">
        <v>0</v>
      </c>
      <c r="AW241">
        <v>2</v>
      </c>
      <c r="AX241">
        <v>37602603</v>
      </c>
      <c r="AY241">
        <v>1</v>
      </c>
      <c r="AZ241">
        <v>0</v>
      </c>
      <c r="BA241">
        <v>241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Y241*Source!I353</f>
        <v>0.21120000000000003</v>
      </c>
      <c r="CY241">
        <f>AB241</f>
        <v>342.24</v>
      </c>
      <c r="CZ241">
        <f>AF241</f>
        <v>342.24</v>
      </c>
      <c r="DA241">
        <f>AJ241</f>
        <v>1</v>
      </c>
      <c r="DB241">
        <v>0</v>
      </c>
    </row>
    <row r="242" spans="1:106" x14ac:dyDescent="0.2">
      <c r="A242">
        <f>ROW(Source!A353)</f>
        <v>353</v>
      </c>
      <c r="B242">
        <v>37598633</v>
      </c>
      <c r="C242">
        <v>37600508</v>
      </c>
      <c r="D242">
        <v>34190584</v>
      </c>
      <c r="E242">
        <v>1</v>
      </c>
      <c r="F242">
        <v>1</v>
      </c>
      <c r="G242">
        <v>15</v>
      </c>
      <c r="H242">
        <v>3</v>
      </c>
      <c r="I242" t="s">
        <v>321</v>
      </c>
      <c r="J242" t="s">
        <v>322</v>
      </c>
      <c r="K242" t="s">
        <v>323</v>
      </c>
      <c r="L242">
        <v>1327</v>
      </c>
      <c r="N242">
        <v>1005</v>
      </c>
      <c r="O242" t="s">
        <v>176</v>
      </c>
      <c r="P242" t="s">
        <v>176</v>
      </c>
      <c r="Q242">
        <v>1</v>
      </c>
      <c r="W242">
        <v>0</v>
      </c>
      <c r="X242">
        <v>1535195253</v>
      </c>
      <c r="Y242">
        <v>5.6</v>
      </c>
      <c r="AA242">
        <v>12.61</v>
      </c>
      <c r="AB242">
        <v>0</v>
      </c>
      <c r="AC242">
        <v>0</v>
      </c>
      <c r="AD242">
        <v>0</v>
      </c>
      <c r="AE242">
        <v>12.61</v>
      </c>
      <c r="AF242">
        <v>0</v>
      </c>
      <c r="AG242">
        <v>0</v>
      </c>
      <c r="AH242">
        <v>0</v>
      </c>
      <c r="AI242">
        <v>1</v>
      </c>
      <c r="AJ242">
        <v>1</v>
      </c>
      <c r="AK242">
        <v>1</v>
      </c>
      <c r="AL242">
        <v>1</v>
      </c>
      <c r="AN242">
        <v>0</v>
      </c>
      <c r="AO242">
        <v>1</v>
      </c>
      <c r="AP242">
        <v>1</v>
      </c>
      <c r="AQ242">
        <v>0</v>
      </c>
      <c r="AR242">
        <v>0</v>
      </c>
      <c r="AS242" t="s">
        <v>3</v>
      </c>
      <c r="AT242">
        <v>5.6</v>
      </c>
      <c r="AU242" t="s">
        <v>3</v>
      </c>
      <c r="AV242">
        <v>0</v>
      </c>
      <c r="AW242">
        <v>2</v>
      </c>
      <c r="AX242">
        <v>37602604</v>
      </c>
      <c r="AY242">
        <v>1</v>
      </c>
      <c r="AZ242">
        <v>0</v>
      </c>
      <c r="BA242">
        <v>242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Y242*Source!I353</f>
        <v>0.44799999999999995</v>
      </c>
      <c r="CY242">
        <f>AA242</f>
        <v>12.61</v>
      </c>
      <c r="CZ242">
        <f>AE242</f>
        <v>12.61</v>
      </c>
      <c r="DA242">
        <f>AI242</f>
        <v>1</v>
      </c>
      <c r="DB242">
        <v>0</v>
      </c>
    </row>
    <row r="243" spans="1:106" x14ac:dyDescent="0.2">
      <c r="A243">
        <f>ROW(Source!A353)</f>
        <v>353</v>
      </c>
      <c r="B243">
        <v>37598633</v>
      </c>
      <c r="C243">
        <v>37600508</v>
      </c>
      <c r="D243">
        <v>34190671</v>
      </c>
      <c r="E243">
        <v>1</v>
      </c>
      <c r="F243">
        <v>1</v>
      </c>
      <c r="G243">
        <v>15</v>
      </c>
      <c r="H243">
        <v>3</v>
      </c>
      <c r="I243" t="s">
        <v>324</v>
      </c>
      <c r="J243" t="s">
        <v>325</v>
      </c>
      <c r="K243" t="s">
        <v>326</v>
      </c>
      <c r="L243">
        <v>1348</v>
      </c>
      <c r="N243">
        <v>1009</v>
      </c>
      <c r="O243" t="s">
        <v>29</v>
      </c>
      <c r="P243" t="s">
        <v>29</v>
      </c>
      <c r="Q243">
        <v>1000</v>
      </c>
      <c r="W243">
        <v>0</v>
      </c>
      <c r="X243">
        <v>-837791969</v>
      </c>
      <c r="Y243">
        <v>3.15E-3</v>
      </c>
      <c r="AA243">
        <v>100975.39</v>
      </c>
      <c r="AB243">
        <v>0</v>
      </c>
      <c r="AC243">
        <v>0</v>
      </c>
      <c r="AD243">
        <v>0</v>
      </c>
      <c r="AE243">
        <v>100975.39</v>
      </c>
      <c r="AF243">
        <v>0</v>
      </c>
      <c r="AG243">
        <v>0</v>
      </c>
      <c r="AH243">
        <v>0</v>
      </c>
      <c r="AI243">
        <v>1</v>
      </c>
      <c r="AJ243">
        <v>1</v>
      </c>
      <c r="AK243">
        <v>1</v>
      </c>
      <c r="AL243">
        <v>1</v>
      </c>
      <c r="AN243">
        <v>0</v>
      </c>
      <c r="AO243">
        <v>1</v>
      </c>
      <c r="AP243">
        <v>1</v>
      </c>
      <c r="AQ243">
        <v>0</v>
      </c>
      <c r="AR243">
        <v>0</v>
      </c>
      <c r="AS243" t="s">
        <v>3</v>
      </c>
      <c r="AT243">
        <v>3.15E-3</v>
      </c>
      <c r="AU243" t="s">
        <v>3</v>
      </c>
      <c r="AV243">
        <v>0</v>
      </c>
      <c r="AW243">
        <v>2</v>
      </c>
      <c r="AX243">
        <v>37602605</v>
      </c>
      <c r="AY243">
        <v>1</v>
      </c>
      <c r="AZ243">
        <v>0</v>
      </c>
      <c r="BA243">
        <v>243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Y243*Source!I353</f>
        <v>2.52E-4</v>
      </c>
      <c r="CY243">
        <f>AA243</f>
        <v>100975.39</v>
      </c>
      <c r="CZ243">
        <f>AE243</f>
        <v>100975.39</v>
      </c>
      <c r="DA243">
        <f>AI243</f>
        <v>1</v>
      </c>
      <c r="DB243">
        <v>0</v>
      </c>
    </row>
    <row r="244" spans="1:106" x14ac:dyDescent="0.2">
      <c r="A244">
        <f>ROW(Source!A353)</f>
        <v>353</v>
      </c>
      <c r="B244">
        <v>37598633</v>
      </c>
      <c r="C244">
        <v>37600508</v>
      </c>
      <c r="D244">
        <v>34190888</v>
      </c>
      <c r="E244">
        <v>1</v>
      </c>
      <c r="F244">
        <v>1</v>
      </c>
      <c r="G244">
        <v>15</v>
      </c>
      <c r="H244">
        <v>3</v>
      </c>
      <c r="I244" t="s">
        <v>327</v>
      </c>
      <c r="J244" t="s">
        <v>328</v>
      </c>
      <c r="K244" t="s">
        <v>329</v>
      </c>
      <c r="L244">
        <v>1346</v>
      </c>
      <c r="N244">
        <v>1009</v>
      </c>
      <c r="O244" t="s">
        <v>330</v>
      </c>
      <c r="P244" t="s">
        <v>330</v>
      </c>
      <c r="Q244">
        <v>1</v>
      </c>
      <c r="W244">
        <v>0</v>
      </c>
      <c r="X244">
        <v>-1646851010</v>
      </c>
      <c r="Y244">
        <v>735</v>
      </c>
      <c r="AA244">
        <v>20.03</v>
      </c>
      <c r="AB244">
        <v>0</v>
      </c>
      <c r="AC244">
        <v>0</v>
      </c>
      <c r="AD244">
        <v>0</v>
      </c>
      <c r="AE244">
        <v>20.03</v>
      </c>
      <c r="AF244">
        <v>0</v>
      </c>
      <c r="AG244">
        <v>0</v>
      </c>
      <c r="AH244">
        <v>0</v>
      </c>
      <c r="AI244">
        <v>1</v>
      </c>
      <c r="AJ244">
        <v>1</v>
      </c>
      <c r="AK244">
        <v>1</v>
      </c>
      <c r="AL244">
        <v>1</v>
      </c>
      <c r="AN244">
        <v>0</v>
      </c>
      <c r="AO244">
        <v>1</v>
      </c>
      <c r="AP244">
        <v>1</v>
      </c>
      <c r="AQ244">
        <v>0</v>
      </c>
      <c r="AR244">
        <v>0</v>
      </c>
      <c r="AS244" t="s">
        <v>3</v>
      </c>
      <c r="AT244">
        <v>735</v>
      </c>
      <c r="AU244" t="s">
        <v>3</v>
      </c>
      <c r="AV244">
        <v>0</v>
      </c>
      <c r="AW244">
        <v>2</v>
      </c>
      <c r="AX244">
        <v>37602606</v>
      </c>
      <c r="AY244">
        <v>1</v>
      </c>
      <c r="AZ244">
        <v>0</v>
      </c>
      <c r="BA244">
        <v>244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Y244*Source!I353</f>
        <v>58.800000000000004</v>
      </c>
      <c r="CY244">
        <f>AA244</f>
        <v>20.03</v>
      </c>
      <c r="CZ244">
        <f>AE244</f>
        <v>20.03</v>
      </c>
      <c r="DA244">
        <f>AI244</f>
        <v>1</v>
      </c>
      <c r="DB244">
        <v>0</v>
      </c>
    </row>
    <row r="245" spans="1:106" x14ac:dyDescent="0.2">
      <c r="A245">
        <f>ROW(Source!A353)</f>
        <v>353</v>
      </c>
      <c r="B245">
        <v>37598633</v>
      </c>
      <c r="C245">
        <v>37600508</v>
      </c>
      <c r="D245">
        <v>34190895</v>
      </c>
      <c r="E245">
        <v>1</v>
      </c>
      <c r="F245">
        <v>1</v>
      </c>
      <c r="G245">
        <v>15</v>
      </c>
      <c r="H245">
        <v>3</v>
      </c>
      <c r="I245" t="s">
        <v>331</v>
      </c>
      <c r="J245" t="s">
        <v>332</v>
      </c>
      <c r="K245" t="s">
        <v>333</v>
      </c>
      <c r="L245">
        <v>1346</v>
      </c>
      <c r="N245">
        <v>1009</v>
      </c>
      <c r="O245" t="s">
        <v>330</v>
      </c>
      <c r="P245" t="s">
        <v>330</v>
      </c>
      <c r="Q245">
        <v>1</v>
      </c>
      <c r="W245">
        <v>0</v>
      </c>
      <c r="X245">
        <v>1601901178</v>
      </c>
      <c r="Y245">
        <v>241.5</v>
      </c>
      <c r="AA245">
        <v>175.18</v>
      </c>
      <c r="AB245">
        <v>0</v>
      </c>
      <c r="AC245">
        <v>0</v>
      </c>
      <c r="AD245">
        <v>0</v>
      </c>
      <c r="AE245">
        <v>175.18</v>
      </c>
      <c r="AF245">
        <v>0</v>
      </c>
      <c r="AG245">
        <v>0</v>
      </c>
      <c r="AH245">
        <v>0</v>
      </c>
      <c r="AI245">
        <v>1</v>
      </c>
      <c r="AJ245">
        <v>1</v>
      </c>
      <c r="AK245">
        <v>1</v>
      </c>
      <c r="AL245">
        <v>1</v>
      </c>
      <c r="AN245">
        <v>0</v>
      </c>
      <c r="AO245">
        <v>1</v>
      </c>
      <c r="AP245">
        <v>1</v>
      </c>
      <c r="AQ245">
        <v>0</v>
      </c>
      <c r="AR245">
        <v>0</v>
      </c>
      <c r="AS245" t="s">
        <v>3</v>
      </c>
      <c r="AT245">
        <v>241.5</v>
      </c>
      <c r="AU245" t="s">
        <v>3</v>
      </c>
      <c r="AV245">
        <v>0</v>
      </c>
      <c r="AW245">
        <v>2</v>
      </c>
      <c r="AX245">
        <v>37602607</v>
      </c>
      <c r="AY245">
        <v>1</v>
      </c>
      <c r="AZ245">
        <v>0</v>
      </c>
      <c r="BA245">
        <v>245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Y245*Source!I353</f>
        <v>19.32</v>
      </c>
      <c r="CY245">
        <f>AA245</f>
        <v>175.18</v>
      </c>
      <c r="CZ245">
        <f>AE245</f>
        <v>175.18</v>
      </c>
      <c r="DA245">
        <f>AI245</f>
        <v>1</v>
      </c>
      <c r="DB245">
        <v>0</v>
      </c>
    </row>
    <row r="246" spans="1:106" x14ac:dyDescent="0.2">
      <c r="A246">
        <f>ROW(Source!A353)</f>
        <v>353</v>
      </c>
      <c r="B246">
        <v>37598633</v>
      </c>
      <c r="C246">
        <v>37600508</v>
      </c>
      <c r="D246">
        <v>34188917</v>
      </c>
      <c r="E246">
        <v>1</v>
      </c>
      <c r="F246">
        <v>1</v>
      </c>
      <c r="G246">
        <v>15</v>
      </c>
      <c r="H246">
        <v>3</v>
      </c>
      <c r="I246" t="s">
        <v>334</v>
      </c>
      <c r="J246" t="s">
        <v>335</v>
      </c>
      <c r="K246" t="s">
        <v>336</v>
      </c>
      <c r="L246">
        <v>1348</v>
      </c>
      <c r="N246">
        <v>1009</v>
      </c>
      <c r="O246" t="s">
        <v>29</v>
      </c>
      <c r="P246" t="s">
        <v>29</v>
      </c>
      <c r="Q246">
        <v>1000</v>
      </c>
      <c r="W246">
        <v>0</v>
      </c>
      <c r="X246">
        <v>-946191126</v>
      </c>
      <c r="Y246">
        <v>5.2499999999999998E-2</v>
      </c>
      <c r="AA246">
        <v>360260.32</v>
      </c>
      <c r="AB246">
        <v>0</v>
      </c>
      <c r="AC246">
        <v>0</v>
      </c>
      <c r="AD246">
        <v>0</v>
      </c>
      <c r="AE246">
        <v>360260.32</v>
      </c>
      <c r="AF246">
        <v>0</v>
      </c>
      <c r="AG246">
        <v>0</v>
      </c>
      <c r="AH246">
        <v>0</v>
      </c>
      <c r="AI246">
        <v>1</v>
      </c>
      <c r="AJ246">
        <v>1</v>
      </c>
      <c r="AK246">
        <v>1</v>
      </c>
      <c r="AL246">
        <v>1</v>
      </c>
      <c r="AN246">
        <v>0</v>
      </c>
      <c r="AO246">
        <v>1</v>
      </c>
      <c r="AP246">
        <v>1</v>
      </c>
      <c r="AQ246">
        <v>0</v>
      </c>
      <c r="AR246">
        <v>0</v>
      </c>
      <c r="AS246" t="s">
        <v>3</v>
      </c>
      <c r="AT246">
        <v>5.2499999999999998E-2</v>
      </c>
      <c r="AU246" t="s">
        <v>3</v>
      </c>
      <c r="AV246">
        <v>0</v>
      </c>
      <c r="AW246">
        <v>2</v>
      </c>
      <c r="AX246">
        <v>37602608</v>
      </c>
      <c r="AY246">
        <v>1</v>
      </c>
      <c r="AZ246">
        <v>0</v>
      </c>
      <c r="BA246">
        <v>246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Y246*Source!I353</f>
        <v>4.1999999999999997E-3</v>
      </c>
      <c r="CY246">
        <f>AA246</f>
        <v>360260.32</v>
      </c>
      <c r="CZ246">
        <f>AE246</f>
        <v>360260.32</v>
      </c>
      <c r="DA246">
        <f>AI246</f>
        <v>1</v>
      </c>
      <c r="DB246">
        <v>0</v>
      </c>
    </row>
    <row r="247" spans="1:106" x14ac:dyDescent="0.2">
      <c r="A247">
        <f>ROW(Source!A354)</f>
        <v>354</v>
      </c>
      <c r="B247">
        <v>37598633</v>
      </c>
      <c r="C247">
        <v>37600529</v>
      </c>
      <c r="D247">
        <v>34176775</v>
      </c>
      <c r="E247">
        <v>15</v>
      </c>
      <c r="F247">
        <v>1</v>
      </c>
      <c r="G247">
        <v>15</v>
      </c>
      <c r="H247">
        <v>1</v>
      </c>
      <c r="I247" t="s">
        <v>213</v>
      </c>
      <c r="J247" t="s">
        <v>3</v>
      </c>
      <c r="K247" t="s">
        <v>214</v>
      </c>
      <c r="L247">
        <v>1191</v>
      </c>
      <c r="N247">
        <v>1013</v>
      </c>
      <c r="O247" t="s">
        <v>215</v>
      </c>
      <c r="P247" t="s">
        <v>215</v>
      </c>
      <c r="Q247">
        <v>1</v>
      </c>
      <c r="W247">
        <v>0</v>
      </c>
      <c r="X247">
        <v>476480486</v>
      </c>
      <c r="Y247">
        <v>2.65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1</v>
      </c>
      <c r="AJ247">
        <v>1</v>
      </c>
      <c r="AK247">
        <v>1</v>
      </c>
      <c r="AL247">
        <v>1</v>
      </c>
      <c r="AN247">
        <v>0</v>
      </c>
      <c r="AO247">
        <v>1</v>
      </c>
      <c r="AP247">
        <v>0</v>
      </c>
      <c r="AQ247">
        <v>0</v>
      </c>
      <c r="AR247">
        <v>0</v>
      </c>
      <c r="AS247" t="s">
        <v>3</v>
      </c>
      <c r="AT247">
        <v>2.65</v>
      </c>
      <c r="AU247" t="s">
        <v>3</v>
      </c>
      <c r="AV247">
        <v>1</v>
      </c>
      <c r="AW247">
        <v>2</v>
      </c>
      <c r="AX247">
        <v>37602609</v>
      </c>
      <c r="AY247">
        <v>1</v>
      </c>
      <c r="AZ247">
        <v>0</v>
      </c>
      <c r="BA247">
        <v>247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Y247*Source!I354</f>
        <v>0.21199999999999999</v>
      </c>
      <c r="CY247">
        <f>AD247</f>
        <v>0</v>
      </c>
      <c r="CZ247">
        <f>AH247</f>
        <v>0</v>
      </c>
      <c r="DA247">
        <f>AL247</f>
        <v>1</v>
      </c>
      <c r="DB247">
        <v>0</v>
      </c>
    </row>
    <row r="248" spans="1:106" x14ac:dyDescent="0.2">
      <c r="A248">
        <f>ROW(Source!A354)</f>
        <v>354</v>
      </c>
      <c r="B248">
        <v>37598633</v>
      </c>
      <c r="C248">
        <v>37600529</v>
      </c>
      <c r="D248">
        <v>34187808</v>
      </c>
      <c r="E248">
        <v>1</v>
      </c>
      <c r="F248">
        <v>1</v>
      </c>
      <c r="G248">
        <v>15</v>
      </c>
      <c r="H248">
        <v>2</v>
      </c>
      <c r="I248" t="s">
        <v>309</v>
      </c>
      <c r="J248" t="s">
        <v>310</v>
      </c>
      <c r="K248" t="s">
        <v>311</v>
      </c>
      <c r="L248">
        <v>1368</v>
      </c>
      <c r="N248">
        <v>1011</v>
      </c>
      <c r="O248" t="s">
        <v>219</v>
      </c>
      <c r="P248" t="s">
        <v>219</v>
      </c>
      <c r="Q248">
        <v>1</v>
      </c>
      <c r="W248">
        <v>0</v>
      </c>
      <c r="X248">
        <v>-853369462</v>
      </c>
      <c r="Y248">
        <v>0.5</v>
      </c>
      <c r="AA248">
        <v>0</v>
      </c>
      <c r="AB248">
        <v>401.44</v>
      </c>
      <c r="AC248">
        <v>272.81</v>
      </c>
      <c r="AD248">
        <v>0</v>
      </c>
      <c r="AE248">
        <v>0</v>
      </c>
      <c r="AF248">
        <v>401.44</v>
      </c>
      <c r="AG248">
        <v>272.81</v>
      </c>
      <c r="AH248">
        <v>0</v>
      </c>
      <c r="AI248">
        <v>1</v>
      </c>
      <c r="AJ248">
        <v>1</v>
      </c>
      <c r="AK248">
        <v>1</v>
      </c>
      <c r="AL248">
        <v>1</v>
      </c>
      <c r="AN248">
        <v>0</v>
      </c>
      <c r="AO248">
        <v>1</v>
      </c>
      <c r="AP248">
        <v>0</v>
      </c>
      <c r="AQ248">
        <v>0</v>
      </c>
      <c r="AR248">
        <v>0</v>
      </c>
      <c r="AS248" t="s">
        <v>3</v>
      </c>
      <c r="AT248">
        <v>0.5</v>
      </c>
      <c r="AU248" t="s">
        <v>3</v>
      </c>
      <c r="AV248">
        <v>0</v>
      </c>
      <c r="AW248">
        <v>2</v>
      </c>
      <c r="AX248">
        <v>37602610</v>
      </c>
      <c r="AY248">
        <v>1</v>
      </c>
      <c r="AZ248">
        <v>0</v>
      </c>
      <c r="BA248">
        <v>248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Y248*Source!I354</f>
        <v>0.04</v>
      </c>
      <c r="CY248">
        <f>AB248</f>
        <v>401.44</v>
      </c>
      <c r="CZ248">
        <f>AF248</f>
        <v>401.44</v>
      </c>
      <c r="DA248">
        <f>AJ248</f>
        <v>1</v>
      </c>
      <c r="DB248">
        <v>0</v>
      </c>
    </row>
    <row r="249" spans="1:106" x14ac:dyDescent="0.2">
      <c r="A249">
        <f>ROW(Source!A354)</f>
        <v>354</v>
      </c>
      <c r="B249">
        <v>37598633</v>
      </c>
      <c r="C249">
        <v>37600529</v>
      </c>
      <c r="D249">
        <v>34188225</v>
      </c>
      <c r="E249">
        <v>1</v>
      </c>
      <c r="F249">
        <v>1</v>
      </c>
      <c r="G249">
        <v>15</v>
      </c>
      <c r="H249">
        <v>2</v>
      </c>
      <c r="I249" t="s">
        <v>318</v>
      </c>
      <c r="J249" t="s">
        <v>319</v>
      </c>
      <c r="K249" t="s">
        <v>320</v>
      </c>
      <c r="L249">
        <v>1368</v>
      </c>
      <c r="N249">
        <v>1011</v>
      </c>
      <c r="O249" t="s">
        <v>219</v>
      </c>
      <c r="P249" t="s">
        <v>219</v>
      </c>
      <c r="Q249">
        <v>1</v>
      </c>
      <c r="W249">
        <v>0</v>
      </c>
      <c r="X249">
        <v>-418809971</v>
      </c>
      <c r="Y249">
        <v>0.5</v>
      </c>
      <c r="AA249">
        <v>0</v>
      </c>
      <c r="AB249">
        <v>342.24</v>
      </c>
      <c r="AC249">
        <v>296.26</v>
      </c>
      <c r="AD249">
        <v>0</v>
      </c>
      <c r="AE249">
        <v>0</v>
      </c>
      <c r="AF249">
        <v>342.24</v>
      </c>
      <c r="AG249">
        <v>296.26</v>
      </c>
      <c r="AH249">
        <v>0</v>
      </c>
      <c r="AI249">
        <v>1</v>
      </c>
      <c r="AJ249">
        <v>1</v>
      </c>
      <c r="AK249">
        <v>1</v>
      </c>
      <c r="AL249">
        <v>1</v>
      </c>
      <c r="AN249">
        <v>0</v>
      </c>
      <c r="AO249">
        <v>1</v>
      </c>
      <c r="AP249">
        <v>0</v>
      </c>
      <c r="AQ249">
        <v>0</v>
      </c>
      <c r="AR249">
        <v>0</v>
      </c>
      <c r="AS249" t="s">
        <v>3</v>
      </c>
      <c r="AT249">
        <v>0.5</v>
      </c>
      <c r="AU249" t="s">
        <v>3</v>
      </c>
      <c r="AV249">
        <v>0</v>
      </c>
      <c r="AW249">
        <v>2</v>
      </c>
      <c r="AX249">
        <v>37602611</v>
      </c>
      <c r="AY249">
        <v>1</v>
      </c>
      <c r="AZ249">
        <v>0</v>
      </c>
      <c r="BA249">
        <v>249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Y249*Source!I354</f>
        <v>0.04</v>
      </c>
      <c r="CY249">
        <f>AB249</f>
        <v>342.24</v>
      </c>
      <c r="CZ249">
        <f>AF249</f>
        <v>342.24</v>
      </c>
      <c r="DA249">
        <f>AJ249</f>
        <v>1</v>
      </c>
      <c r="DB249">
        <v>0</v>
      </c>
    </row>
    <row r="250" spans="1:106" x14ac:dyDescent="0.2">
      <c r="A250">
        <f>ROW(Source!A354)</f>
        <v>354</v>
      </c>
      <c r="B250">
        <v>37598633</v>
      </c>
      <c r="C250">
        <v>37600529</v>
      </c>
      <c r="D250">
        <v>34190888</v>
      </c>
      <c r="E250">
        <v>1</v>
      </c>
      <c r="F250">
        <v>1</v>
      </c>
      <c r="G250">
        <v>15</v>
      </c>
      <c r="H250">
        <v>3</v>
      </c>
      <c r="I250" t="s">
        <v>327</v>
      </c>
      <c r="J250" t="s">
        <v>328</v>
      </c>
      <c r="K250" t="s">
        <v>329</v>
      </c>
      <c r="L250">
        <v>1346</v>
      </c>
      <c r="N250">
        <v>1009</v>
      </c>
      <c r="O250" t="s">
        <v>330</v>
      </c>
      <c r="P250" t="s">
        <v>330</v>
      </c>
      <c r="Q250">
        <v>1</v>
      </c>
      <c r="W250">
        <v>0</v>
      </c>
      <c r="X250">
        <v>-1646851010</v>
      </c>
      <c r="Y250">
        <v>147</v>
      </c>
      <c r="AA250">
        <v>20.03</v>
      </c>
      <c r="AB250">
        <v>0</v>
      </c>
      <c r="AC250">
        <v>0</v>
      </c>
      <c r="AD250">
        <v>0</v>
      </c>
      <c r="AE250">
        <v>20.03</v>
      </c>
      <c r="AF250">
        <v>0</v>
      </c>
      <c r="AG250">
        <v>0</v>
      </c>
      <c r="AH250">
        <v>0</v>
      </c>
      <c r="AI250">
        <v>1</v>
      </c>
      <c r="AJ250">
        <v>1</v>
      </c>
      <c r="AK250">
        <v>1</v>
      </c>
      <c r="AL250">
        <v>1</v>
      </c>
      <c r="AN250">
        <v>0</v>
      </c>
      <c r="AO250">
        <v>1</v>
      </c>
      <c r="AP250">
        <v>1</v>
      </c>
      <c r="AQ250">
        <v>0</v>
      </c>
      <c r="AR250">
        <v>0</v>
      </c>
      <c r="AS250" t="s">
        <v>3</v>
      </c>
      <c r="AT250">
        <v>147</v>
      </c>
      <c r="AU250" t="s">
        <v>3</v>
      </c>
      <c r="AV250">
        <v>0</v>
      </c>
      <c r="AW250">
        <v>2</v>
      </c>
      <c r="AX250">
        <v>37602612</v>
      </c>
      <c r="AY250">
        <v>1</v>
      </c>
      <c r="AZ250">
        <v>0</v>
      </c>
      <c r="BA250">
        <v>250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Y250*Source!I354</f>
        <v>11.76</v>
      </c>
      <c r="CY250">
        <f>AA250</f>
        <v>20.03</v>
      </c>
      <c r="CZ250">
        <f>AE250</f>
        <v>20.03</v>
      </c>
      <c r="DA250">
        <f>AI250</f>
        <v>1</v>
      </c>
      <c r="DB250">
        <v>0</v>
      </c>
    </row>
    <row r="251" spans="1:106" x14ac:dyDescent="0.2">
      <c r="A251">
        <f>ROW(Source!A354)</f>
        <v>354</v>
      </c>
      <c r="B251">
        <v>37598633</v>
      </c>
      <c r="C251">
        <v>37600529</v>
      </c>
      <c r="D251">
        <v>34190895</v>
      </c>
      <c r="E251">
        <v>1</v>
      </c>
      <c r="F251">
        <v>1</v>
      </c>
      <c r="G251">
        <v>15</v>
      </c>
      <c r="H251">
        <v>3</v>
      </c>
      <c r="I251" t="s">
        <v>331</v>
      </c>
      <c r="J251" t="s">
        <v>332</v>
      </c>
      <c r="K251" t="s">
        <v>333</v>
      </c>
      <c r="L251">
        <v>1346</v>
      </c>
      <c r="N251">
        <v>1009</v>
      </c>
      <c r="O251" t="s">
        <v>330</v>
      </c>
      <c r="P251" t="s">
        <v>330</v>
      </c>
      <c r="Q251">
        <v>1</v>
      </c>
      <c r="W251">
        <v>0</v>
      </c>
      <c r="X251">
        <v>1601901178</v>
      </c>
      <c r="Y251">
        <v>42</v>
      </c>
      <c r="AA251">
        <v>175.18</v>
      </c>
      <c r="AB251">
        <v>0</v>
      </c>
      <c r="AC251">
        <v>0</v>
      </c>
      <c r="AD251">
        <v>0</v>
      </c>
      <c r="AE251">
        <v>175.18</v>
      </c>
      <c r="AF251">
        <v>0</v>
      </c>
      <c r="AG251">
        <v>0</v>
      </c>
      <c r="AH251">
        <v>0</v>
      </c>
      <c r="AI251">
        <v>1</v>
      </c>
      <c r="AJ251">
        <v>1</v>
      </c>
      <c r="AK251">
        <v>1</v>
      </c>
      <c r="AL251">
        <v>1</v>
      </c>
      <c r="AN251">
        <v>0</v>
      </c>
      <c r="AO251">
        <v>1</v>
      </c>
      <c r="AP251">
        <v>1</v>
      </c>
      <c r="AQ251">
        <v>0</v>
      </c>
      <c r="AR251">
        <v>0</v>
      </c>
      <c r="AS251" t="s">
        <v>3</v>
      </c>
      <c r="AT251">
        <v>42</v>
      </c>
      <c r="AU251" t="s">
        <v>3</v>
      </c>
      <c r="AV251">
        <v>0</v>
      </c>
      <c r="AW251">
        <v>2</v>
      </c>
      <c r="AX251">
        <v>37602613</v>
      </c>
      <c r="AY251">
        <v>1</v>
      </c>
      <c r="AZ251">
        <v>0</v>
      </c>
      <c r="BA251">
        <v>251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Y251*Source!I354</f>
        <v>3.36</v>
      </c>
      <c r="CY251">
        <f>AA251</f>
        <v>175.18</v>
      </c>
      <c r="CZ251">
        <f>AE251</f>
        <v>175.18</v>
      </c>
      <c r="DA251">
        <f>AI251</f>
        <v>1</v>
      </c>
      <c r="DB251">
        <v>0</v>
      </c>
    </row>
    <row r="252" spans="1:106" x14ac:dyDescent="0.2">
      <c r="A252">
        <f>ROW(Source!A354)</f>
        <v>354</v>
      </c>
      <c r="B252">
        <v>37598633</v>
      </c>
      <c r="C252">
        <v>37600529</v>
      </c>
      <c r="D252">
        <v>34188917</v>
      </c>
      <c r="E252">
        <v>1</v>
      </c>
      <c r="F252">
        <v>1</v>
      </c>
      <c r="G252">
        <v>15</v>
      </c>
      <c r="H252">
        <v>3</v>
      </c>
      <c r="I252" t="s">
        <v>334</v>
      </c>
      <c r="J252" t="s">
        <v>335</v>
      </c>
      <c r="K252" t="s">
        <v>336</v>
      </c>
      <c r="L252">
        <v>1348</v>
      </c>
      <c r="N252">
        <v>1009</v>
      </c>
      <c r="O252" t="s">
        <v>29</v>
      </c>
      <c r="P252" t="s">
        <v>29</v>
      </c>
      <c r="Q252">
        <v>1000</v>
      </c>
      <c r="W252">
        <v>0</v>
      </c>
      <c r="X252">
        <v>-946191126</v>
      </c>
      <c r="Y252">
        <v>1.0500000000000001E-2</v>
      </c>
      <c r="AA252">
        <v>360260.32</v>
      </c>
      <c r="AB252">
        <v>0</v>
      </c>
      <c r="AC252">
        <v>0</v>
      </c>
      <c r="AD252">
        <v>0</v>
      </c>
      <c r="AE252">
        <v>360260.32</v>
      </c>
      <c r="AF252">
        <v>0</v>
      </c>
      <c r="AG252">
        <v>0</v>
      </c>
      <c r="AH252">
        <v>0</v>
      </c>
      <c r="AI252">
        <v>1</v>
      </c>
      <c r="AJ252">
        <v>1</v>
      </c>
      <c r="AK252">
        <v>1</v>
      </c>
      <c r="AL252">
        <v>1</v>
      </c>
      <c r="AN252">
        <v>0</v>
      </c>
      <c r="AO252">
        <v>1</v>
      </c>
      <c r="AP252">
        <v>1</v>
      </c>
      <c r="AQ252">
        <v>0</v>
      </c>
      <c r="AR252">
        <v>0</v>
      </c>
      <c r="AS252" t="s">
        <v>3</v>
      </c>
      <c r="AT252">
        <v>1.0500000000000001E-2</v>
      </c>
      <c r="AU252" t="s">
        <v>3</v>
      </c>
      <c r="AV252">
        <v>0</v>
      </c>
      <c r="AW252">
        <v>2</v>
      </c>
      <c r="AX252">
        <v>37602614</v>
      </c>
      <c r="AY252">
        <v>1</v>
      </c>
      <c r="AZ252">
        <v>0</v>
      </c>
      <c r="BA252">
        <v>252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Y252*Source!I354</f>
        <v>8.4000000000000003E-4</v>
      </c>
      <c r="CY252">
        <f>AA252</f>
        <v>360260.32</v>
      </c>
      <c r="CZ252">
        <f>AE252</f>
        <v>360260.32</v>
      </c>
      <c r="DA252">
        <f>AI252</f>
        <v>1</v>
      </c>
      <c r="DB252">
        <v>0</v>
      </c>
    </row>
    <row r="253" spans="1:106" x14ac:dyDescent="0.2">
      <c r="A253">
        <f>ROW(Source!A355)</f>
        <v>355</v>
      </c>
      <c r="B253">
        <v>37598633</v>
      </c>
      <c r="C253">
        <v>37600542</v>
      </c>
      <c r="D253">
        <v>34176775</v>
      </c>
      <c r="E253">
        <v>15</v>
      </c>
      <c r="F253">
        <v>1</v>
      </c>
      <c r="G253">
        <v>15</v>
      </c>
      <c r="H253">
        <v>1</v>
      </c>
      <c r="I253" t="s">
        <v>213</v>
      </c>
      <c r="J253" t="s">
        <v>3</v>
      </c>
      <c r="K253" t="s">
        <v>214</v>
      </c>
      <c r="L253">
        <v>1191</v>
      </c>
      <c r="N253">
        <v>1013</v>
      </c>
      <c r="O253" t="s">
        <v>215</v>
      </c>
      <c r="P253" t="s">
        <v>215</v>
      </c>
      <c r="Q253">
        <v>1</v>
      </c>
      <c r="W253">
        <v>0</v>
      </c>
      <c r="X253">
        <v>476480486</v>
      </c>
      <c r="Y253">
        <v>85.94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1</v>
      </c>
      <c r="AJ253">
        <v>1</v>
      </c>
      <c r="AK253">
        <v>1</v>
      </c>
      <c r="AL253">
        <v>1</v>
      </c>
      <c r="AN253">
        <v>0</v>
      </c>
      <c r="AO253">
        <v>1</v>
      </c>
      <c r="AP253">
        <v>0</v>
      </c>
      <c r="AQ253">
        <v>0</v>
      </c>
      <c r="AR253">
        <v>0</v>
      </c>
      <c r="AS253" t="s">
        <v>3</v>
      </c>
      <c r="AT253">
        <v>85.94</v>
      </c>
      <c r="AU253" t="s">
        <v>3</v>
      </c>
      <c r="AV253">
        <v>1</v>
      </c>
      <c r="AW253">
        <v>2</v>
      </c>
      <c r="AX253">
        <v>37602615</v>
      </c>
      <c r="AY253">
        <v>1</v>
      </c>
      <c r="AZ253">
        <v>0</v>
      </c>
      <c r="BA253">
        <v>253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Y253*Source!I355</f>
        <v>6.8751999999999995</v>
      </c>
      <c r="CY253">
        <f>AD253</f>
        <v>0</v>
      </c>
      <c r="CZ253">
        <f>AH253</f>
        <v>0</v>
      </c>
      <c r="DA253">
        <f>AL253</f>
        <v>1</v>
      </c>
      <c r="DB253">
        <v>0</v>
      </c>
    </row>
    <row r="254" spans="1:106" x14ac:dyDescent="0.2">
      <c r="A254">
        <f>ROW(Source!A356)</f>
        <v>356</v>
      </c>
      <c r="B254">
        <v>37598633</v>
      </c>
      <c r="C254">
        <v>37600545</v>
      </c>
      <c r="D254">
        <v>34176775</v>
      </c>
      <c r="E254">
        <v>15</v>
      </c>
      <c r="F254">
        <v>1</v>
      </c>
      <c r="G254">
        <v>15</v>
      </c>
      <c r="H254">
        <v>1</v>
      </c>
      <c r="I254" t="s">
        <v>213</v>
      </c>
      <c r="J254" t="s">
        <v>3</v>
      </c>
      <c r="K254" t="s">
        <v>214</v>
      </c>
      <c r="L254">
        <v>1191</v>
      </c>
      <c r="N254">
        <v>1013</v>
      </c>
      <c r="O254" t="s">
        <v>215</v>
      </c>
      <c r="P254" t="s">
        <v>215</v>
      </c>
      <c r="Q254">
        <v>1</v>
      </c>
      <c r="W254">
        <v>0</v>
      </c>
      <c r="X254">
        <v>476480486</v>
      </c>
      <c r="Y254">
        <v>16.559999999999999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1</v>
      </c>
      <c r="AJ254">
        <v>1</v>
      </c>
      <c r="AK254">
        <v>1</v>
      </c>
      <c r="AL254">
        <v>1</v>
      </c>
      <c r="AN254">
        <v>0</v>
      </c>
      <c r="AO254">
        <v>1</v>
      </c>
      <c r="AP254">
        <v>0</v>
      </c>
      <c r="AQ254">
        <v>0</v>
      </c>
      <c r="AR254">
        <v>0</v>
      </c>
      <c r="AS254" t="s">
        <v>3</v>
      </c>
      <c r="AT254">
        <v>16.559999999999999</v>
      </c>
      <c r="AU254" t="s">
        <v>3</v>
      </c>
      <c r="AV254">
        <v>1</v>
      </c>
      <c r="AW254">
        <v>2</v>
      </c>
      <c r="AX254">
        <v>37602616</v>
      </c>
      <c r="AY254">
        <v>1</v>
      </c>
      <c r="AZ254">
        <v>0</v>
      </c>
      <c r="BA254">
        <v>254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Y254*Source!I356</f>
        <v>0.52991999999999995</v>
      </c>
      <c r="CY254">
        <f>AD254</f>
        <v>0</v>
      </c>
      <c r="CZ254">
        <f>AH254</f>
        <v>0</v>
      </c>
      <c r="DA254">
        <f>AL254</f>
        <v>1</v>
      </c>
      <c r="DB254">
        <v>0</v>
      </c>
    </row>
    <row r="255" spans="1:106" x14ac:dyDescent="0.2">
      <c r="A255">
        <f>ROW(Source!A356)</f>
        <v>356</v>
      </c>
      <c r="B255">
        <v>37598633</v>
      </c>
      <c r="C255">
        <v>37600545</v>
      </c>
      <c r="D255">
        <v>34188463</v>
      </c>
      <c r="E255">
        <v>1</v>
      </c>
      <c r="F255">
        <v>1</v>
      </c>
      <c r="G255">
        <v>15</v>
      </c>
      <c r="H255">
        <v>2</v>
      </c>
      <c r="I255" t="s">
        <v>226</v>
      </c>
      <c r="J255" t="s">
        <v>227</v>
      </c>
      <c r="K255" t="s">
        <v>228</v>
      </c>
      <c r="L255">
        <v>1368</v>
      </c>
      <c r="N255">
        <v>1011</v>
      </c>
      <c r="O255" t="s">
        <v>219</v>
      </c>
      <c r="P255" t="s">
        <v>219</v>
      </c>
      <c r="Q255">
        <v>1</v>
      </c>
      <c r="W255">
        <v>0</v>
      </c>
      <c r="X255">
        <v>1482077759</v>
      </c>
      <c r="Y255">
        <v>2.08</v>
      </c>
      <c r="AA255">
        <v>0</v>
      </c>
      <c r="AB255">
        <v>936.41</v>
      </c>
      <c r="AC255">
        <v>403.45</v>
      </c>
      <c r="AD255">
        <v>0</v>
      </c>
      <c r="AE255">
        <v>0</v>
      </c>
      <c r="AF255">
        <v>936.41</v>
      </c>
      <c r="AG255">
        <v>403.45</v>
      </c>
      <c r="AH255">
        <v>0</v>
      </c>
      <c r="AI255">
        <v>1</v>
      </c>
      <c r="AJ255">
        <v>1</v>
      </c>
      <c r="AK255">
        <v>1</v>
      </c>
      <c r="AL255">
        <v>1</v>
      </c>
      <c r="AN255">
        <v>0</v>
      </c>
      <c r="AO255">
        <v>1</v>
      </c>
      <c r="AP255">
        <v>0</v>
      </c>
      <c r="AQ255">
        <v>0</v>
      </c>
      <c r="AR255">
        <v>0</v>
      </c>
      <c r="AS255" t="s">
        <v>3</v>
      </c>
      <c r="AT255">
        <v>2.08</v>
      </c>
      <c r="AU255" t="s">
        <v>3</v>
      </c>
      <c r="AV255">
        <v>0</v>
      </c>
      <c r="AW255">
        <v>2</v>
      </c>
      <c r="AX255">
        <v>37602617</v>
      </c>
      <c r="AY255">
        <v>1</v>
      </c>
      <c r="AZ255">
        <v>0</v>
      </c>
      <c r="BA255">
        <v>255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>Y255*Source!I356</f>
        <v>6.6560000000000008E-2</v>
      </c>
      <c r="CY255">
        <f>AB255</f>
        <v>936.41</v>
      </c>
      <c r="CZ255">
        <f>AF255</f>
        <v>936.41</v>
      </c>
      <c r="DA255">
        <f>AJ255</f>
        <v>1</v>
      </c>
      <c r="DB255">
        <v>0</v>
      </c>
    </row>
    <row r="256" spans="1:106" x14ac:dyDescent="0.2">
      <c r="A256">
        <f>ROW(Source!A356)</f>
        <v>356</v>
      </c>
      <c r="B256">
        <v>37598633</v>
      </c>
      <c r="C256">
        <v>37600545</v>
      </c>
      <c r="D256">
        <v>34188306</v>
      </c>
      <c r="E256">
        <v>1</v>
      </c>
      <c r="F256">
        <v>1</v>
      </c>
      <c r="G256">
        <v>15</v>
      </c>
      <c r="H256">
        <v>2</v>
      </c>
      <c r="I256" t="s">
        <v>238</v>
      </c>
      <c r="J256" t="s">
        <v>239</v>
      </c>
      <c r="K256" t="s">
        <v>240</v>
      </c>
      <c r="L256">
        <v>1368</v>
      </c>
      <c r="N256">
        <v>1011</v>
      </c>
      <c r="O256" t="s">
        <v>219</v>
      </c>
      <c r="P256" t="s">
        <v>219</v>
      </c>
      <c r="Q256">
        <v>1</v>
      </c>
      <c r="W256">
        <v>0</v>
      </c>
      <c r="X256">
        <v>1619837319</v>
      </c>
      <c r="Y256">
        <v>2.08</v>
      </c>
      <c r="AA256">
        <v>0</v>
      </c>
      <c r="AB256">
        <v>354.92</v>
      </c>
      <c r="AC256">
        <v>157.22999999999999</v>
      </c>
      <c r="AD256">
        <v>0</v>
      </c>
      <c r="AE256">
        <v>0</v>
      </c>
      <c r="AF256">
        <v>354.92</v>
      </c>
      <c r="AG256">
        <v>157.22999999999999</v>
      </c>
      <c r="AH256">
        <v>0</v>
      </c>
      <c r="AI256">
        <v>1</v>
      </c>
      <c r="AJ256">
        <v>1</v>
      </c>
      <c r="AK256">
        <v>1</v>
      </c>
      <c r="AL256">
        <v>1</v>
      </c>
      <c r="AN256">
        <v>0</v>
      </c>
      <c r="AO256">
        <v>1</v>
      </c>
      <c r="AP256">
        <v>0</v>
      </c>
      <c r="AQ256">
        <v>0</v>
      </c>
      <c r="AR256">
        <v>0</v>
      </c>
      <c r="AS256" t="s">
        <v>3</v>
      </c>
      <c r="AT256">
        <v>2.08</v>
      </c>
      <c r="AU256" t="s">
        <v>3</v>
      </c>
      <c r="AV256">
        <v>0</v>
      </c>
      <c r="AW256">
        <v>2</v>
      </c>
      <c r="AX256">
        <v>37602618</v>
      </c>
      <c r="AY256">
        <v>1</v>
      </c>
      <c r="AZ256">
        <v>0</v>
      </c>
      <c r="BA256">
        <v>256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>Y256*Source!I356</f>
        <v>6.6560000000000008E-2</v>
      </c>
      <c r="CY256">
        <f>AB256</f>
        <v>354.92</v>
      </c>
      <c r="CZ256">
        <f>AF256</f>
        <v>354.92</v>
      </c>
      <c r="DA256">
        <f>AJ256</f>
        <v>1</v>
      </c>
      <c r="DB256">
        <v>0</v>
      </c>
    </row>
    <row r="257" spans="1:106" x14ac:dyDescent="0.2">
      <c r="A257">
        <f>ROW(Source!A356)</f>
        <v>356</v>
      </c>
      <c r="B257">
        <v>37598633</v>
      </c>
      <c r="C257">
        <v>37600545</v>
      </c>
      <c r="D257">
        <v>34188303</v>
      </c>
      <c r="E257">
        <v>1</v>
      </c>
      <c r="F257">
        <v>1</v>
      </c>
      <c r="G257">
        <v>15</v>
      </c>
      <c r="H257">
        <v>2</v>
      </c>
      <c r="I257" t="s">
        <v>241</v>
      </c>
      <c r="J257" t="s">
        <v>242</v>
      </c>
      <c r="K257" t="s">
        <v>243</v>
      </c>
      <c r="L257">
        <v>1368</v>
      </c>
      <c r="N257">
        <v>1011</v>
      </c>
      <c r="O257" t="s">
        <v>219</v>
      </c>
      <c r="P257" t="s">
        <v>219</v>
      </c>
      <c r="Q257">
        <v>1</v>
      </c>
      <c r="W257">
        <v>0</v>
      </c>
      <c r="X257">
        <v>-422229590</v>
      </c>
      <c r="Y257">
        <v>0.81</v>
      </c>
      <c r="AA257">
        <v>0</v>
      </c>
      <c r="AB257">
        <v>1527.34</v>
      </c>
      <c r="AC257">
        <v>334.88</v>
      </c>
      <c r="AD257">
        <v>0</v>
      </c>
      <c r="AE257">
        <v>0</v>
      </c>
      <c r="AF257">
        <v>1527.34</v>
      </c>
      <c r="AG257">
        <v>334.88</v>
      </c>
      <c r="AH257">
        <v>0</v>
      </c>
      <c r="AI257">
        <v>1</v>
      </c>
      <c r="AJ257">
        <v>1</v>
      </c>
      <c r="AK257">
        <v>1</v>
      </c>
      <c r="AL257">
        <v>1</v>
      </c>
      <c r="AN257">
        <v>0</v>
      </c>
      <c r="AO257">
        <v>1</v>
      </c>
      <c r="AP257">
        <v>0</v>
      </c>
      <c r="AQ257">
        <v>0</v>
      </c>
      <c r="AR257">
        <v>0</v>
      </c>
      <c r="AS257" t="s">
        <v>3</v>
      </c>
      <c r="AT257">
        <v>0.81</v>
      </c>
      <c r="AU257" t="s">
        <v>3</v>
      </c>
      <c r="AV257">
        <v>0</v>
      </c>
      <c r="AW257">
        <v>2</v>
      </c>
      <c r="AX257">
        <v>37602619</v>
      </c>
      <c r="AY257">
        <v>1</v>
      </c>
      <c r="AZ257">
        <v>0</v>
      </c>
      <c r="BA257">
        <v>257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CX257">
        <f>Y257*Source!I356</f>
        <v>2.5920000000000002E-2</v>
      </c>
      <c r="CY257">
        <f>AB257</f>
        <v>1527.34</v>
      </c>
      <c r="CZ257">
        <f>AF257</f>
        <v>1527.34</v>
      </c>
      <c r="DA257">
        <f>AJ257</f>
        <v>1</v>
      </c>
      <c r="DB257">
        <v>0</v>
      </c>
    </row>
    <row r="258" spans="1:106" x14ac:dyDescent="0.2">
      <c r="A258">
        <f>ROW(Source!A356)</f>
        <v>356</v>
      </c>
      <c r="B258">
        <v>37598633</v>
      </c>
      <c r="C258">
        <v>37600545</v>
      </c>
      <c r="D258">
        <v>34188265</v>
      </c>
      <c r="E258">
        <v>1</v>
      </c>
      <c r="F258">
        <v>1</v>
      </c>
      <c r="G258">
        <v>15</v>
      </c>
      <c r="H258">
        <v>2</v>
      </c>
      <c r="I258" t="s">
        <v>223</v>
      </c>
      <c r="J258" t="s">
        <v>224</v>
      </c>
      <c r="K258" t="s">
        <v>225</v>
      </c>
      <c r="L258">
        <v>1368</v>
      </c>
      <c r="N258">
        <v>1011</v>
      </c>
      <c r="O258" t="s">
        <v>219</v>
      </c>
      <c r="P258" t="s">
        <v>219</v>
      </c>
      <c r="Q258">
        <v>1</v>
      </c>
      <c r="W258">
        <v>0</v>
      </c>
      <c r="X258">
        <v>-1706694778</v>
      </c>
      <c r="Y258">
        <v>1.94</v>
      </c>
      <c r="AA258">
        <v>0</v>
      </c>
      <c r="AB258">
        <v>1142.6300000000001</v>
      </c>
      <c r="AC258">
        <v>468.35</v>
      </c>
      <c r="AD258">
        <v>0</v>
      </c>
      <c r="AE258">
        <v>0</v>
      </c>
      <c r="AF258">
        <v>1142.6300000000001</v>
      </c>
      <c r="AG258">
        <v>468.35</v>
      </c>
      <c r="AH258">
        <v>0</v>
      </c>
      <c r="AI258">
        <v>1</v>
      </c>
      <c r="AJ258">
        <v>1</v>
      </c>
      <c r="AK258">
        <v>1</v>
      </c>
      <c r="AL258">
        <v>1</v>
      </c>
      <c r="AN258">
        <v>0</v>
      </c>
      <c r="AO258">
        <v>1</v>
      </c>
      <c r="AP258">
        <v>0</v>
      </c>
      <c r="AQ258">
        <v>0</v>
      </c>
      <c r="AR258">
        <v>0</v>
      </c>
      <c r="AS258" t="s">
        <v>3</v>
      </c>
      <c r="AT258">
        <v>1.94</v>
      </c>
      <c r="AU258" t="s">
        <v>3</v>
      </c>
      <c r="AV258">
        <v>0</v>
      </c>
      <c r="AW258">
        <v>2</v>
      </c>
      <c r="AX258">
        <v>37602620</v>
      </c>
      <c r="AY258">
        <v>1</v>
      </c>
      <c r="AZ258">
        <v>0</v>
      </c>
      <c r="BA258">
        <v>258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CX258">
        <f>Y258*Source!I356</f>
        <v>6.2079999999999996E-2</v>
      </c>
      <c r="CY258">
        <f>AB258</f>
        <v>1142.6300000000001</v>
      </c>
      <c r="CZ258">
        <f>AF258</f>
        <v>1142.6300000000001</v>
      </c>
      <c r="DA258">
        <f>AJ258</f>
        <v>1</v>
      </c>
      <c r="DB258">
        <v>0</v>
      </c>
    </row>
    <row r="259" spans="1:106" x14ac:dyDescent="0.2">
      <c r="A259">
        <f>ROW(Source!A356)</f>
        <v>356</v>
      </c>
      <c r="B259">
        <v>37598633</v>
      </c>
      <c r="C259">
        <v>37600545</v>
      </c>
      <c r="D259">
        <v>34188313</v>
      </c>
      <c r="E259">
        <v>1</v>
      </c>
      <c r="F259">
        <v>1</v>
      </c>
      <c r="G259">
        <v>15</v>
      </c>
      <c r="H259">
        <v>2</v>
      </c>
      <c r="I259" t="s">
        <v>244</v>
      </c>
      <c r="J259" t="s">
        <v>245</v>
      </c>
      <c r="K259" t="s">
        <v>246</v>
      </c>
      <c r="L259">
        <v>1368</v>
      </c>
      <c r="N259">
        <v>1011</v>
      </c>
      <c r="O259" t="s">
        <v>219</v>
      </c>
      <c r="P259" t="s">
        <v>219</v>
      </c>
      <c r="Q259">
        <v>1</v>
      </c>
      <c r="W259">
        <v>0</v>
      </c>
      <c r="X259">
        <v>-882610335</v>
      </c>
      <c r="Y259">
        <v>0.65</v>
      </c>
      <c r="AA259">
        <v>0</v>
      </c>
      <c r="AB259">
        <v>1590.37</v>
      </c>
      <c r="AC259">
        <v>497.81</v>
      </c>
      <c r="AD259">
        <v>0</v>
      </c>
      <c r="AE259">
        <v>0</v>
      </c>
      <c r="AF259">
        <v>1590.37</v>
      </c>
      <c r="AG259">
        <v>497.81</v>
      </c>
      <c r="AH259">
        <v>0</v>
      </c>
      <c r="AI259">
        <v>1</v>
      </c>
      <c r="AJ259">
        <v>1</v>
      </c>
      <c r="AK259">
        <v>1</v>
      </c>
      <c r="AL259">
        <v>1</v>
      </c>
      <c r="AN259">
        <v>0</v>
      </c>
      <c r="AO259">
        <v>1</v>
      </c>
      <c r="AP259">
        <v>0</v>
      </c>
      <c r="AQ259">
        <v>0</v>
      </c>
      <c r="AR259">
        <v>0</v>
      </c>
      <c r="AS259" t="s">
        <v>3</v>
      </c>
      <c r="AT259">
        <v>0.65</v>
      </c>
      <c r="AU259" t="s">
        <v>3</v>
      </c>
      <c r="AV259">
        <v>0</v>
      </c>
      <c r="AW259">
        <v>2</v>
      </c>
      <c r="AX259">
        <v>37602621</v>
      </c>
      <c r="AY259">
        <v>1</v>
      </c>
      <c r="AZ259">
        <v>0</v>
      </c>
      <c r="BA259">
        <v>259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CX259">
        <f>Y259*Source!I356</f>
        <v>2.0800000000000003E-2</v>
      </c>
      <c r="CY259">
        <f>AB259</f>
        <v>1590.37</v>
      </c>
      <c r="CZ259">
        <f>AF259</f>
        <v>1590.37</v>
      </c>
      <c r="DA259">
        <f>AJ259</f>
        <v>1</v>
      </c>
      <c r="DB259">
        <v>0</v>
      </c>
    </row>
    <row r="260" spans="1:106" x14ac:dyDescent="0.2">
      <c r="A260">
        <f>ROW(Source!A356)</f>
        <v>356</v>
      </c>
      <c r="B260">
        <v>37598633</v>
      </c>
      <c r="C260">
        <v>37600545</v>
      </c>
      <c r="D260">
        <v>34189650</v>
      </c>
      <c r="E260">
        <v>1</v>
      </c>
      <c r="F260">
        <v>1</v>
      </c>
      <c r="G260">
        <v>15</v>
      </c>
      <c r="H260">
        <v>3</v>
      </c>
      <c r="I260" t="s">
        <v>247</v>
      </c>
      <c r="J260" t="s">
        <v>248</v>
      </c>
      <c r="K260" t="s">
        <v>249</v>
      </c>
      <c r="L260">
        <v>1339</v>
      </c>
      <c r="N260">
        <v>1007</v>
      </c>
      <c r="O260" t="s">
        <v>115</v>
      </c>
      <c r="P260" t="s">
        <v>115</v>
      </c>
      <c r="Q260">
        <v>1</v>
      </c>
      <c r="W260">
        <v>0</v>
      </c>
      <c r="X260">
        <v>-1431983879</v>
      </c>
      <c r="Y260">
        <v>110</v>
      </c>
      <c r="AA260">
        <v>559.23</v>
      </c>
      <c r="AB260">
        <v>0</v>
      </c>
      <c r="AC260">
        <v>0</v>
      </c>
      <c r="AD260">
        <v>0</v>
      </c>
      <c r="AE260">
        <v>559.23</v>
      </c>
      <c r="AF260">
        <v>0</v>
      </c>
      <c r="AG260">
        <v>0</v>
      </c>
      <c r="AH260">
        <v>0</v>
      </c>
      <c r="AI260">
        <v>1</v>
      </c>
      <c r="AJ260">
        <v>1</v>
      </c>
      <c r="AK260">
        <v>1</v>
      </c>
      <c r="AL260">
        <v>1</v>
      </c>
      <c r="AN260">
        <v>0</v>
      </c>
      <c r="AO260">
        <v>1</v>
      </c>
      <c r="AP260">
        <v>1</v>
      </c>
      <c r="AQ260">
        <v>0</v>
      </c>
      <c r="AR260">
        <v>0</v>
      </c>
      <c r="AS260" t="s">
        <v>3</v>
      </c>
      <c r="AT260">
        <v>110</v>
      </c>
      <c r="AU260" t="s">
        <v>3</v>
      </c>
      <c r="AV260">
        <v>0</v>
      </c>
      <c r="AW260">
        <v>2</v>
      </c>
      <c r="AX260">
        <v>37602622</v>
      </c>
      <c r="AY260">
        <v>1</v>
      </c>
      <c r="AZ260">
        <v>0</v>
      </c>
      <c r="BA260">
        <v>260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CX260">
        <f>Y260*Source!I356</f>
        <v>3.52</v>
      </c>
      <c r="CY260">
        <f>AA260</f>
        <v>559.23</v>
      </c>
      <c r="CZ260">
        <f>AE260</f>
        <v>559.23</v>
      </c>
      <c r="DA260">
        <f>AI260</f>
        <v>1</v>
      </c>
      <c r="DB260">
        <v>0</v>
      </c>
    </row>
    <row r="261" spans="1:106" x14ac:dyDescent="0.2">
      <c r="A261">
        <f>ROW(Source!A356)</f>
        <v>356</v>
      </c>
      <c r="B261">
        <v>37598633</v>
      </c>
      <c r="C261">
        <v>37600545</v>
      </c>
      <c r="D261">
        <v>34190363</v>
      </c>
      <c r="E261">
        <v>1</v>
      </c>
      <c r="F261">
        <v>1</v>
      </c>
      <c r="G261">
        <v>15</v>
      </c>
      <c r="H261">
        <v>3</v>
      </c>
      <c r="I261" t="s">
        <v>250</v>
      </c>
      <c r="J261" t="s">
        <v>251</v>
      </c>
      <c r="K261" t="s">
        <v>252</v>
      </c>
      <c r="L261">
        <v>1339</v>
      </c>
      <c r="N261">
        <v>1007</v>
      </c>
      <c r="O261" t="s">
        <v>115</v>
      </c>
      <c r="P261" t="s">
        <v>115</v>
      </c>
      <c r="Q261">
        <v>1</v>
      </c>
      <c r="W261">
        <v>0</v>
      </c>
      <c r="X261">
        <v>-156220903</v>
      </c>
      <c r="Y261">
        <v>5</v>
      </c>
      <c r="AA261">
        <v>28.77</v>
      </c>
      <c r="AB261">
        <v>0</v>
      </c>
      <c r="AC261">
        <v>0</v>
      </c>
      <c r="AD261">
        <v>0</v>
      </c>
      <c r="AE261">
        <v>28.77</v>
      </c>
      <c r="AF261">
        <v>0</v>
      </c>
      <c r="AG261">
        <v>0</v>
      </c>
      <c r="AH261">
        <v>0</v>
      </c>
      <c r="AI261">
        <v>1</v>
      </c>
      <c r="AJ261">
        <v>1</v>
      </c>
      <c r="AK261">
        <v>1</v>
      </c>
      <c r="AL261">
        <v>1</v>
      </c>
      <c r="AN261">
        <v>0</v>
      </c>
      <c r="AO261">
        <v>1</v>
      </c>
      <c r="AP261">
        <v>1</v>
      </c>
      <c r="AQ261">
        <v>0</v>
      </c>
      <c r="AR261">
        <v>0</v>
      </c>
      <c r="AS261" t="s">
        <v>3</v>
      </c>
      <c r="AT261">
        <v>5</v>
      </c>
      <c r="AU261" t="s">
        <v>3</v>
      </c>
      <c r="AV261">
        <v>0</v>
      </c>
      <c r="AW261">
        <v>2</v>
      </c>
      <c r="AX261">
        <v>37602623</v>
      </c>
      <c r="AY261">
        <v>1</v>
      </c>
      <c r="AZ261">
        <v>0</v>
      </c>
      <c r="BA261">
        <v>261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CX261">
        <f>Y261*Source!I356</f>
        <v>0.16</v>
      </c>
      <c r="CY261">
        <f>AA261</f>
        <v>28.77</v>
      </c>
      <c r="CZ261">
        <f>AE261</f>
        <v>28.77</v>
      </c>
      <c r="DA261">
        <f>AI261</f>
        <v>1</v>
      </c>
      <c r="DB261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1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ROW(Source!A28)</f>
        <v>28</v>
      </c>
      <c r="B1">
        <v>37602331</v>
      </c>
      <c r="C1">
        <v>37599982</v>
      </c>
      <c r="D1">
        <v>34176775</v>
      </c>
      <c r="E1">
        <v>15</v>
      </c>
      <c r="F1">
        <v>1</v>
      </c>
      <c r="G1">
        <v>15</v>
      </c>
      <c r="H1">
        <v>1</v>
      </c>
      <c r="I1" t="s">
        <v>213</v>
      </c>
      <c r="J1" t="s">
        <v>3</v>
      </c>
      <c r="K1" t="s">
        <v>214</v>
      </c>
      <c r="L1">
        <v>1191</v>
      </c>
      <c r="N1">
        <v>1013</v>
      </c>
      <c r="O1" t="s">
        <v>215</v>
      </c>
      <c r="P1" t="s">
        <v>215</v>
      </c>
      <c r="Q1">
        <v>1</v>
      </c>
      <c r="X1">
        <v>155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F1" t="s">
        <v>3</v>
      </c>
      <c r="AG1">
        <v>155</v>
      </c>
      <c r="AH1">
        <v>2</v>
      </c>
      <c r="AI1">
        <v>37599983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ROW(Source!A28)</f>
        <v>28</v>
      </c>
      <c r="B2">
        <v>37602332</v>
      </c>
      <c r="C2">
        <v>37599982</v>
      </c>
      <c r="D2">
        <v>34188152</v>
      </c>
      <c r="E2">
        <v>1</v>
      </c>
      <c r="F2">
        <v>1</v>
      </c>
      <c r="G2">
        <v>15</v>
      </c>
      <c r="H2">
        <v>2</v>
      </c>
      <c r="I2" t="s">
        <v>216</v>
      </c>
      <c r="J2" t="s">
        <v>217</v>
      </c>
      <c r="K2" t="s">
        <v>218</v>
      </c>
      <c r="L2">
        <v>1368</v>
      </c>
      <c r="N2">
        <v>1011</v>
      </c>
      <c r="O2" t="s">
        <v>219</v>
      </c>
      <c r="P2" t="s">
        <v>219</v>
      </c>
      <c r="Q2">
        <v>1</v>
      </c>
      <c r="X2">
        <v>37.5</v>
      </c>
      <c r="Y2">
        <v>0</v>
      </c>
      <c r="Z2">
        <v>566.36</v>
      </c>
      <c r="AA2">
        <v>309.02999999999997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37.5</v>
      </c>
      <c r="AH2">
        <v>2</v>
      </c>
      <c r="AI2">
        <v>37599984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ROW(Source!A28)</f>
        <v>28</v>
      </c>
      <c r="B3">
        <v>37602333</v>
      </c>
      <c r="C3">
        <v>37599982</v>
      </c>
      <c r="D3">
        <v>34187711</v>
      </c>
      <c r="E3">
        <v>1</v>
      </c>
      <c r="F3">
        <v>1</v>
      </c>
      <c r="G3">
        <v>15</v>
      </c>
      <c r="H3">
        <v>2</v>
      </c>
      <c r="I3" t="s">
        <v>220</v>
      </c>
      <c r="J3" t="s">
        <v>221</v>
      </c>
      <c r="K3" t="s">
        <v>222</v>
      </c>
      <c r="L3">
        <v>1368</v>
      </c>
      <c r="N3">
        <v>1011</v>
      </c>
      <c r="O3" t="s">
        <v>219</v>
      </c>
      <c r="P3" t="s">
        <v>219</v>
      </c>
      <c r="Q3">
        <v>1</v>
      </c>
      <c r="X3">
        <v>75</v>
      </c>
      <c r="Y3">
        <v>0</v>
      </c>
      <c r="Z3">
        <v>4.95</v>
      </c>
      <c r="AA3">
        <v>0.82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75</v>
      </c>
      <c r="AH3">
        <v>2</v>
      </c>
      <c r="AI3">
        <v>37599985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ROW(Source!A28)</f>
        <v>28</v>
      </c>
      <c r="B4">
        <v>37602334</v>
      </c>
      <c r="C4">
        <v>37599982</v>
      </c>
      <c r="D4">
        <v>34188265</v>
      </c>
      <c r="E4">
        <v>1</v>
      </c>
      <c r="F4">
        <v>1</v>
      </c>
      <c r="G4">
        <v>15</v>
      </c>
      <c r="H4">
        <v>2</v>
      </c>
      <c r="I4" t="s">
        <v>223</v>
      </c>
      <c r="J4" t="s">
        <v>224</v>
      </c>
      <c r="K4" t="s">
        <v>225</v>
      </c>
      <c r="L4">
        <v>1368</v>
      </c>
      <c r="N4">
        <v>1011</v>
      </c>
      <c r="O4" t="s">
        <v>219</v>
      </c>
      <c r="P4" t="s">
        <v>219</v>
      </c>
      <c r="Q4">
        <v>1</v>
      </c>
      <c r="X4">
        <v>1.55</v>
      </c>
      <c r="Y4">
        <v>0</v>
      </c>
      <c r="Z4">
        <v>1142.6300000000001</v>
      </c>
      <c r="AA4">
        <v>468.35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1.55</v>
      </c>
      <c r="AH4">
        <v>2</v>
      </c>
      <c r="AI4">
        <v>37599986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ROW(Source!A29)</f>
        <v>29</v>
      </c>
      <c r="B5">
        <v>37602335</v>
      </c>
      <c r="C5">
        <v>37599991</v>
      </c>
      <c r="D5">
        <v>34176775</v>
      </c>
      <c r="E5">
        <v>15</v>
      </c>
      <c r="F5">
        <v>1</v>
      </c>
      <c r="G5">
        <v>15</v>
      </c>
      <c r="H5">
        <v>1</v>
      </c>
      <c r="I5" t="s">
        <v>213</v>
      </c>
      <c r="J5" t="s">
        <v>3</v>
      </c>
      <c r="K5" t="s">
        <v>214</v>
      </c>
      <c r="L5">
        <v>1191</v>
      </c>
      <c r="N5">
        <v>1013</v>
      </c>
      <c r="O5" t="s">
        <v>215</v>
      </c>
      <c r="P5" t="s">
        <v>215</v>
      </c>
      <c r="Q5">
        <v>1</v>
      </c>
      <c r="X5">
        <v>11.7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1</v>
      </c>
      <c r="AF5" t="s">
        <v>3</v>
      </c>
      <c r="AG5">
        <v>11.7</v>
      </c>
      <c r="AH5">
        <v>2</v>
      </c>
      <c r="AI5">
        <v>37599992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ROW(Source!A29)</f>
        <v>29</v>
      </c>
      <c r="B6">
        <v>37602336</v>
      </c>
      <c r="C6">
        <v>37599991</v>
      </c>
      <c r="D6">
        <v>34188463</v>
      </c>
      <c r="E6">
        <v>1</v>
      </c>
      <c r="F6">
        <v>1</v>
      </c>
      <c r="G6">
        <v>15</v>
      </c>
      <c r="H6">
        <v>2</v>
      </c>
      <c r="I6" t="s">
        <v>226</v>
      </c>
      <c r="J6" t="s">
        <v>227</v>
      </c>
      <c r="K6" t="s">
        <v>228</v>
      </c>
      <c r="L6">
        <v>1368</v>
      </c>
      <c r="N6">
        <v>1011</v>
      </c>
      <c r="O6" t="s">
        <v>219</v>
      </c>
      <c r="P6" t="s">
        <v>219</v>
      </c>
      <c r="Q6">
        <v>1</v>
      </c>
      <c r="X6">
        <v>1.26</v>
      </c>
      <c r="Y6">
        <v>0</v>
      </c>
      <c r="Z6">
        <v>936.41</v>
      </c>
      <c r="AA6">
        <v>403.45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1.26</v>
      </c>
      <c r="AH6">
        <v>2</v>
      </c>
      <c r="AI6">
        <v>37599993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ROW(Source!A29)</f>
        <v>29</v>
      </c>
      <c r="B7">
        <v>37602337</v>
      </c>
      <c r="C7">
        <v>37599991</v>
      </c>
      <c r="D7">
        <v>34188265</v>
      </c>
      <c r="E7">
        <v>1</v>
      </c>
      <c r="F7">
        <v>1</v>
      </c>
      <c r="G7">
        <v>15</v>
      </c>
      <c r="H7">
        <v>2</v>
      </c>
      <c r="I7" t="s">
        <v>223</v>
      </c>
      <c r="J7" t="s">
        <v>224</v>
      </c>
      <c r="K7" t="s">
        <v>225</v>
      </c>
      <c r="L7">
        <v>1368</v>
      </c>
      <c r="N7">
        <v>1011</v>
      </c>
      <c r="O7" t="s">
        <v>219</v>
      </c>
      <c r="P7" t="s">
        <v>219</v>
      </c>
      <c r="Q7">
        <v>1</v>
      </c>
      <c r="X7">
        <v>1.7</v>
      </c>
      <c r="Y7">
        <v>0</v>
      </c>
      <c r="Z7">
        <v>1142.6300000000001</v>
      </c>
      <c r="AA7">
        <v>468.35</v>
      </c>
      <c r="AB7">
        <v>0</v>
      </c>
      <c r="AC7">
        <v>0</v>
      </c>
      <c r="AD7">
        <v>1</v>
      </c>
      <c r="AE7">
        <v>0</v>
      </c>
      <c r="AF7" t="s">
        <v>3</v>
      </c>
      <c r="AG7">
        <v>1.7</v>
      </c>
      <c r="AH7">
        <v>2</v>
      </c>
      <c r="AI7">
        <v>37599994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ROW(Source!A30)</f>
        <v>30</v>
      </c>
      <c r="B8">
        <v>37602338</v>
      </c>
      <c r="C8">
        <v>37599998</v>
      </c>
      <c r="D8">
        <v>34188506</v>
      </c>
      <c r="E8">
        <v>1</v>
      </c>
      <c r="F8">
        <v>1</v>
      </c>
      <c r="G8">
        <v>15</v>
      </c>
      <c r="H8">
        <v>2</v>
      </c>
      <c r="I8" t="s">
        <v>229</v>
      </c>
      <c r="J8" t="s">
        <v>230</v>
      </c>
      <c r="K8" t="s">
        <v>231</v>
      </c>
      <c r="L8">
        <v>1368</v>
      </c>
      <c r="N8">
        <v>1011</v>
      </c>
      <c r="O8" t="s">
        <v>219</v>
      </c>
      <c r="P8" t="s">
        <v>219</v>
      </c>
      <c r="Q8">
        <v>1</v>
      </c>
      <c r="X8">
        <v>5.3699999999999998E-2</v>
      </c>
      <c r="Y8">
        <v>0</v>
      </c>
      <c r="Z8">
        <v>1296.1600000000001</v>
      </c>
      <c r="AA8">
        <v>521.28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5.3699999999999998E-2</v>
      </c>
      <c r="AH8">
        <v>2</v>
      </c>
      <c r="AI8">
        <v>37599999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ROW(Source!A31)</f>
        <v>31</v>
      </c>
      <c r="B9">
        <v>37602339</v>
      </c>
      <c r="C9">
        <v>37600001</v>
      </c>
      <c r="D9">
        <v>34187831</v>
      </c>
      <c r="E9">
        <v>1</v>
      </c>
      <c r="F9">
        <v>1</v>
      </c>
      <c r="G9">
        <v>15</v>
      </c>
      <c r="H9">
        <v>2</v>
      </c>
      <c r="I9" t="s">
        <v>232</v>
      </c>
      <c r="J9" t="s">
        <v>233</v>
      </c>
      <c r="K9" t="s">
        <v>234</v>
      </c>
      <c r="L9">
        <v>1368</v>
      </c>
      <c r="N9">
        <v>1011</v>
      </c>
      <c r="O9" t="s">
        <v>219</v>
      </c>
      <c r="P9" t="s">
        <v>219</v>
      </c>
      <c r="Q9">
        <v>1</v>
      </c>
      <c r="X9">
        <v>0.02</v>
      </c>
      <c r="Y9">
        <v>0</v>
      </c>
      <c r="Z9">
        <v>782.71</v>
      </c>
      <c r="AA9">
        <v>410.24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0.02</v>
      </c>
      <c r="AH9">
        <v>2</v>
      </c>
      <c r="AI9">
        <v>37600002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ROW(Source!A31)</f>
        <v>31</v>
      </c>
      <c r="B10">
        <v>37602340</v>
      </c>
      <c r="C10">
        <v>37600001</v>
      </c>
      <c r="D10">
        <v>34187830</v>
      </c>
      <c r="E10">
        <v>1</v>
      </c>
      <c r="F10">
        <v>1</v>
      </c>
      <c r="G10">
        <v>15</v>
      </c>
      <c r="H10">
        <v>2</v>
      </c>
      <c r="I10" t="s">
        <v>235</v>
      </c>
      <c r="J10" t="s">
        <v>236</v>
      </c>
      <c r="K10" t="s">
        <v>237</v>
      </c>
      <c r="L10">
        <v>1368</v>
      </c>
      <c r="N10">
        <v>1011</v>
      </c>
      <c r="O10" t="s">
        <v>219</v>
      </c>
      <c r="P10" t="s">
        <v>219</v>
      </c>
      <c r="Q10">
        <v>1</v>
      </c>
      <c r="X10">
        <v>1.7999999999999999E-2</v>
      </c>
      <c r="Y10">
        <v>0</v>
      </c>
      <c r="Z10">
        <v>939.75</v>
      </c>
      <c r="AA10">
        <v>473.4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1.7999999999999999E-2</v>
      </c>
      <c r="AH10">
        <v>2</v>
      </c>
      <c r="AI10">
        <v>37600003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ROW(Source!A32)</f>
        <v>32</v>
      </c>
      <c r="B11">
        <v>37602341</v>
      </c>
      <c r="C11">
        <v>37600006</v>
      </c>
      <c r="D11">
        <v>34187831</v>
      </c>
      <c r="E11">
        <v>1</v>
      </c>
      <c r="F11">
        <v>1</v>
      </c>
      <c r="G11">
        <v>15</v>
      </c>
      <c r="H11">
        <v>2</v>
      </c>
      <c r="I11" t="s">
        <v>232</v>
      </c>
      <c r="J11" t="s">
        <v>233</v>
      </c>
      <c r="K11" t="s">
        <v>234</v>
      </c>
      <c r="L11">
        <v>1368</v>
      </c>
      <c r="N11">
        <v>1011</v>
      </c>
      <c r="O11" t="s">
        <v>219</v>
      </c>
      <c r="P11" t="s">
        <v>219</v>
      </c>
      <c r="Q11">
        <v>1</v>
      </c>
      <c r="X11">
        <v>0.01</v>
      </c>
      <c r="Y11">
        <v>0</v>
      </c>
      <c r="Z11">
        <v>782.71</v>
      </c>
      <c r="AA11">
        <v>410.24</v>
      </c>
      <c r="AB11">
        <v>0</v>
      </c>
      <c r="AC11">
        <v>0</v>
      </c>
      <c r="AD11">
        <v>1</v>
      </c>
      <c r="AE11">
        <v>0</v>
      </c>
      <c r="AF11" t="s">
        <v>40</v>
      </c>
      <c r="AG11">
        <v>0.25</v>
      </c>
      <c r="AH11">
        <v>2</v>
      </c>
      <c r="AI11">
        <v>37600007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ROW(Source!A32)</f>
        <v>32</v>
      </c>
      <c r="B12">
        <v>37602342</v>
      </c>
      <c r="C12">
        <v>37600006</v>
      </c>
      <c r="D12">
        <v>34187830</v>
      </c>
      <c r="E12">
        <v>1</v>
      </c>
      <c r="F12">
        <v>1</v>
      </c>
      <c r="G12">
        <v>15</v>
      </c>
      <c r="H12">
        <v>2</v>
      </c>
      <c r="I12" t="s">
        <v>235</v>
      </c>
      <c r="J12" t="s">
        <v>236</v>
      </c>
      <c r="K12" t="s">
        <v>237</v>
      </c>
      <c r="L12">
        <v>1368</v>
      </c>
      <c r="N12">
        <v>1011</v>
      </c>
      <c r="O12" t="s">
        <v>219</v>
      </c>
      <c r="P12" t="s">
        <v>219</v>
      </c>
      <c r="Q12">
        <v>1</v>
      </c>
      <c r="X12">
        <v>8.0000000000000002E-3</v>
      </c>
      <c r="Y12">
        <v>0</v>
      </c>
      <c r="Z12">
        <v>939.75</v>
      </c>
      <c r="AA12">
        <v>473.4</v>
      </c>
      <c r="AB12">
        <v>0</v>
      </c>
      <c r="AC12">
        <v>0</v>
      </c>
      <c r="AD12">
        <v>1</v>
      </c>
      <c r="AE12">
        <v>0</v>
      </c>
      <c r="AF12" t="s">
        <v>40</v>
      </c>
      <c r="AG12">
        <v>0.2</v>
      </c>
      <c r="AH12">
        <v>2</v>
      </c>
      <c r="AI12">
        <v>37600008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ROW(Source!A33)</f>
        <v>33</v>
      </c>
      <c r="B13">
        <v>37602343</v>
      </c>
      <c r="C13">
        <v>37600011</v>
      </c>
      <c r="D13">
        <v>34176775</v>
      </c>
      <c r="E13">
        <v>15</v>
      </c>
      <c r="F13">
        <v>1</v>
      </c>
      <c r="G13">
        <v>15</v>
      </c>
      <c r="H13">
        <v>1</v>
      </c>
      <c r="I13" t="s">
        <v>213</v>
      </c>
      <c r="J13" t="s">
        <v>3</v>
      </c>
      <c r="K13" t="s">
        <v>214</v>
      </c>
      <c r="L13">
        <v>1191</v>
      </c>
      <c r="N13">
        <v>1013</v>
      </c>
      <c r="O13" t="s">
        <v>215</v>
      </c>
      <c r="P13" t="s">
        <v>215</v>
      </c>
      <c r="Q13">
        <v>1</v>
      </c>
      <c r="X13">
        <v>16.559999999999999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1</v>
      </c>
      <c r="AF13" t="s">
        <v>3</v>
      </c>
      <c r="AG13">
        <v>16.559999999999999</v>
      </c>
      <c r="AH13">
        <v>2</v>
      </c>
      <c r="AI13">
        <v>37600012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ROW(Source!A33)</f>
        <v>33</v>
      </c>
      <c r="B14">
        <v>37602344</v>
      </c>
      <c r="C14">
        <v>37600011</v>
      </c>
      <c r="D14">
        <v>34188463</v>
      </c>
      <c r="E14">
        <v>1</v>
      </c>
      <c r="F14">
        <v>1</v>
      </c>
      <c r="G14">
        <v>15</v>
      </c>
      <c r="H14">
        <v>2</v>
      </c>
      <c r="I14" t="s">
        <v>226</v>
      </c>
      <c r="J14" t="s">
        <v>227</v>
      </c>
      <c r="K14" t="s">
        <v>228</v>
      </c>
      <c r="L14">
        <v>1368</v>
      </c>
      <c r="N14">
        <v>1011</v>
      </c>
      <c r="O14" t="s">
        <v>219</v>
      </c>
      <c r="P14" t="s">
        <v>219</v>
      </c>
      <c r="Q14">
        <v>1</v>
      </c>
      <c r="X14">
        <v>2.08</v>
      </c>
      <c r="Y14">
        <v>0</v>
      </c>
      <c r="Z14">
        <v>936.41</v>
      </c>
      <c r="AA14">
        <v>403.45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2.08</v>
      </c>
      <c r="AH14">
        <v>2</v>
      </c>
      <c r="AI14">
        <v>37600013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ROW(Source!A33)</f>
        <v>33</v>
      </c>
      <c r="B15">
        <v>37602345</v>
      </c>
      <c r="C15">
        <v>37600011</v>
      </c>
      <c r="D15">
        <v>34188306</v>
      </c>
      <c r="E15">
        <v>1</v>
      </c>
      <c r="F15">
        <v>1</v>
      </c>
      <c r="G15">
        <v>15</v>
      </c>
      <c r="H15">
        <v>2</v>
      </c>
      <c r="I15" t="s">
        <v>238</v>
      </c>
      <c r="J15" t="s">
        <v>239</v>
      </c>
      <c r="K15" t="s">
        <v>240</v>
      </c>
      <c r="L15">
        <v>1368</v>
      </c>
      <c r="N15">
        <v>1011</v>
      </c>
      <c r="O15" t="s">
        <v>219</v>
      </c>
      <c r="P15" t="s">
        <v>219</v>
      </c>
      <c r="Q15">
        <v>1</v>
      </c>
      <c r="X15">
        <v>2.08</v>
      </c>
      <c r="Y15">
        <v>0</v>
      </c>
      <c r="Z15">
        <v>354.92</v>
      </c>
      <c r="AA15">
        <v>157.22999999999999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2.08</v>
      </c>
      <c r="AH15">
        <v>2</v>
      </c>
      <c r="AI15">
        <v>37600014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ROW(Source!A33)</f>
        <v>33</v>
      </c>
      <c r="B16">
        <v>37602346</v>
      </c>
      <c r="C16">
        <v>37600011</v>
      </c>
      <c r="D16">
        <v>34188303</v>
      </c>
      <c r="E16">
        <v>1</v>
      </c>
      <c r="F16">
        <v>1</v>
      </c>
      <c r="G16">
        <v>15</v>
      </c>
      <c r="H16">
        <v>2</v>
      </c>
      <c r="I16" t="s">
        <v>241</v>
      </c>
      <c r="J16" t="s">
        <v>242</v>
      </c>
      <c r="K16" t="s">
        <v>243</v>
      </c>
      <c r="L16">
        <v>1368</v>
      </c>
      <c r="N16">
        <v>1011</v>
      </c>
      <c r="O16" t="s">
        <v>219</v>
      </c>
      <c r="P16" t="s">
        <v>219</v>
      </c>
      <c r="Q16">
        <v>1</v>
      </c>
      <c r="X16">
        <v>0.81</v>
      </c>
      <c r="Y16">
        <v>0</v>
      </c>
      <c r="Z16">
        <v>1527.34</v>
      </c>
      <c r="AA16">
        <v>334.88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0.81</v>
      </c>
      <c r="AH16">
        <v>2</v>
      </c>
      <c r="AI16">
        <v>37600015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ROW(Source!A33)</f>
        <v>33</v>
      </c>
      <c r="B17">
        <v>37602347</v>
      </c>
      <c r="C17">
        <v>37600011</v>
      </c>
      <c r="D17">
        <v>34188265</v>
      </c>
      <c r="E17">
        <v>1</v>
      </c>
      <c r="F17">
        <v>1</v>
      </c>
      <c r="G17">
        <v>15</v>
      </c>
      <c r="H17">
        <v>2</v>
      </c>
      <c r="I17" t="s">
        <v>223</v>
      </c>
      <c r="J17" t="s">
        <v>224</v>
      </c>
      <c r="K17" t="s">
        <v>225</v>
      </c>
      <c r="L17">
        <v>1368</v>
      </c>
      <c r="N17">
        <v>1011</v>
      </c>
      <c r="O17" t="s">
        <v>219</v>
      </c>
      <c r="P17" t="s">
        <v>219</v>
      </c>
      <c r="Q17">
        <v>1</v>
      </c>
      <c r="X17">
        <v>1.94</v>
      </c>
      <c r="Y17">
        <v>0</v>
      </c>
      <c r="Z17">
        <v>1142.6300000000001</v>
      </c>
      <c r="AA17">
        <v>468.35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1.94</v>
      </c>
      <c r="AH17">
        <v>2</v>
      </c>
      <c r="AI17">
        <v>37600016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ROW(Source!A33)</f>
        <v>33</v>
      </c>
      <c r="B18">
        <v>37602348</v>
      </c>
      <c r="C18">
        <v>37600011</v>
      </c>
      <c r="D18">
        <v>34188313</v>
      </c>
      <c r="E18">
        <v>1</v>
      </c>
      <c r="F18">
        <v>1</v>
      </c>
      <c r="G18">
        <v>15</v>
      </c>
      <c r="H18">
        <v>2</v>
      </c>
      <c r="I18" t="s">
        <v>244</v>
      </c>
      <c r="J18" t="s">
        <v>245</v>
      </c>
      <c r="K18" t="s">
        <v>246</v>
      </c>
      <c r="L18">
        <v>1368</v>
      </c>
      <c r="N18">
        <v>1011</v>
      </c>
      <c r="O18" t="s">
        <v>219</v>
      </c>
      <c r="P18" t="s">
        <v>219</v>
      </c>
      <c r="Q18">
        <v>1</v>
      </c>
      <c r="X18">
        <v>0.65</v>
      </c>
      <c r="Y18">
        <v>0</v>
      </c>
      <c r="Z18">
        <v>1590.37</v>
      </c>
      <c r="AA18">
        <v>497.81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0.65</v>
      </c>
      <c r="AH18">
        <v>2</v>
      </c>
      <c r="AI18">
        <v>37600017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ROW(Source!A33)</f>
        <v>33</v>
      </c>
      <c r="B19">
        <v>37602349</v>
      </c>
      <c r="C19">
        <v>37600011</v>
      </c>
      <c r="D19">
        <v>34189650</v>
      </c>
      <c r="E19">
        <v>1</v>
      </c>
      <c r="F19">
        <v>1</v>
      </c>
      <c r="G19">
        <v>15</v>
      </c>
      <c r="H19">
        <v>3</v>
      </c>
      <c r="I19" t="s">
        <v>247</v>
      </c>
      <c r="J19" t="s">
        <v>248</v>
      </c>
      <c r="K19" t="s">
        <v>249</v>
      </c>
      <c r="L19">
        <v>1339</v>
      </c>
      <c r="N19">
        <v>1007</v>
      </c>
      <c r="O19" t="s">
        <v>115</v>
      </c>
      <c r="P19" t="s">
        <v>115</v>
      </c>
      <c r="Q19">
        <v>1</v>
      </c>
      <c r="X19">
        <v>110</v>
      </c>
      <c r="Y19">
        <v>559.23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110</v>
      </c>
      <c r="AH19">
        <v>2</v>
      </c>
      <c r="AI19">
        <v>37600018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ROW(Source!A33)</f>
        <v>33</v>
      </c>
      <c r="B20">
        <v>37602350</v>
      </c>
      <c r="C20">
        <v>37600011</v>
      </c>
      <c r="D20">
        <v>34190363</v>
      </c>
      <c r="E20">
        <v>1</v>
      </c>
      <c r="F20">
        <v>1</v>
      </c>
      <c r="G20">
        <v>15</v>
      </c>
      <c r="H20">
        <v>3</v>
      </c>
      <c r="I20" t="s">
        <v>250</v>
      </c>
      <c r="J20" t="s">
        <v>251</v>
      </c>
      <c r="K20" t="s">
        <v>252</v>
      </c>
      <c r="L20">
        <v>1339</v>
      </c>
      <c r="N20">
        <v>1007</v>
      </c>
      <c r="O20" t="s">
        <v>115</v>
      </c>
      <c r="P20" t="s">
        <v>115</v>
      </c>
      <c r="Q20">
        <v>1</v>
      </c>
      <c r="X20">
        <v>5</v>
      </c>
      <c r="Y20">
        <v>28.77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5</v>
      </c>
      <c r="AH20">
        <v>2</v>
      </c>
      <c r="AI20">
        <v>37600019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ROW(Source!A34)</f>
        <v>34</v>
      </c>
      <c r="B21">
        <v>37602351</v>
      </c>
      <c r="C21">
        <v>37600028</v>
      </c>
      <c r="D21">
        <v>34176775</v>
      </c>
      <c r="E21">
        <v>15</v>
      </c>
      <c r="F21">
        <v>1</v>
      </c>
      <c r="G21">
        <v>15</v>
      </c>
      <c r="H21">
        <v>1</v>
      </c>
      <c r="I21" t="s">
        <v>213</v>
      </c>
      <c r="J21" t="s">
        <v>3</v>
      </c>
      <c r="K21" t="s">
        <v>214</v>
      </c>
      <c r="L21">
        <v>1191</v>
      </c>
      <c r="N21">
        <v>1013</v>
      </c>
      <c r="O21" t="s">
        <v>215</v>
      </c>
      <c r="P21" t="s">
        <v>215</v>
      </c>
      <c r="Q21">
        <v>1</v>
      </c>
      <c r="X21">
        <v>24.84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1</v>
      </c>
      <c r="AF21" t="s">
        <v>3</v>
      </c>
      <c r="AG21">
        <v>24.84</v>
      </c>
      <c r="AH21">
        <v>2</v>
      </c>
      <c r="AI21">
        <v>37600029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ROW(Source!A34)</f>
        <v>34</v>
      </c>
      <c r="B22">
        <v>37602352</v>
      </c>
      <c r="C22">
        <v>37600028</v>
      </c>
      <c r="D22">
        <v>34188482</v>
      </c>
      <c r="E22">
        <v>1</v>
      </c>
      <c r="F22">
        <v>1</v>
      </c>
      <c r="G22">
        <v>15</v>
      </c>
      <c r="H22">
        <v>2</v>
      </c>
      <c r="I22" t="s">
        <v>253</v>
      </c>
      <c r="J22" t="s">
        <v>254</v>
      </c>
      <c r="K22" t="s">
        <v>255</v>
      </c>
      <c r="L22">
        <v>1368</v>
      </c>
      <c r="N22">
        <v>1011</v>
      </c>
      <c r="O22" t="s">
        <v>219</v>
      </c>
      <c r="P22" t="s">
        <v>219</v>
      </c>
      <c r="Q22">
        <v>1</v>
      </c>
      <c r="X22">
        <v>2.94</v>
      </c>
      <c r="Y22">
        <v>0</v>
      </c>
      <c r="Z22">
        <v>711.82</v>
      </c>
      <c r="AA22">
        <v>363.48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2.94</v>
      </c>
      <c r="AH22">
        <v>2</v>
      </c>
      <c r="AI22">
        <v>37600030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ROW(Source!A34)</f>
        <v>34</v>
      </c>
      <c r="B23">
        <v>37602353</v>
      </c>
      <c r="C23">
        <v>37600028</v>
      </c>
      <c r="D23">
        <v>34188303</v>
      </c>
      <c r="E23">
        <v>1</v>
      </c>
      <c r="F23">
        <v>1</v>
      </c>
      <c r="G23">
        <v>15</v>
      </c>
      <c r="H23">
        <v>2</v>
      </c>
      <c r="I23" t="s">
        <v>241</v>
      </c>
      <c r="J23" t="s">
        <v>242</v>
      </c>
      <c r="K23" t="s">
        <v>243</v>
      </c>
      <c r="L23">
        <v>1368</v>
      </c>
      <c r="N23">
        <v>1011</v>
      </c>
      <c r="O23" t="s">
        <v>219</v>
      </c>
      <c r="P23" t="s">
        <v>219</v>
      </c>
      <c r="Q23">
        <v>1</v>
      </c>
      <c r="X23">
        <v>1.1399999999999999</v>
      </c>
      <c r="Y23">
        <v>0</v>
      </c>
      <c r="Z23">
        <v>1527.34</v>
      </c>
      <c r="AA23">
        <v>334.88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1.1399999999999999</v>
      </c>
      <c r="AH23">
        <v>2</v>
      </c>
      <c r="AI23">
        <v>37600031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ROW(Source!A34)</f>
        <v>34</v>
      </c>
      <c r="B24">
        <v>37602354</v>
      </c>
      <c r="C24">
        <v>37600028</v>
      </c>
      <c r="D24">
        <v>34188322</v>
      </c>
      <c r="E24">
        <v>1</v>
      </c>
      <c r="F24">
        <v>1</v>
      </c>
      <c r="G24">
        <v>15</v>
      </c>
      <c r="H24">
        <v>2</v>
      </c>
      <c r="I24" t="s">
        <v>256</v>
      </c>
      <c r="J24" t="s">
        <v>257</v>
      </c>
      <c r="K24" t="s">
        <v>258</v>
      </c>
      <c r="L24">
        <v>1368</v>
      </c>
      <c r="N24">
        <v>1011</v>
      </c>
      <c r="O24" t="s">
        <v>219</v>
      </c>
      <c r="P24" t="s">
        <v>219</v>
      </c>
      <c r="Q24">
        <v>1</v>
      </c>
      <c r="X24">
        <v>8.9600000000000009</v>
      </c>
      <c r="Y24">
        <v>0</v>
      </c>
      <c r="Z24">
        <v>984.76</v>
      </c>
      <c r="AA24">
        <v>387.07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8.9600000000000009</v>
      </c>
      <c r="AH24">
        <v>2</v>
      </c>
      <c r="AI24">
        <v>37600032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ROW(Source!A34)</f>
        <v>34</v>
      </c>
      <c r="B25">
        <v>37602355</v>
      </c>
      <c r="C25">
        <v>37600028</v>
      </c>
      <c r="D25">
        <v>34188321</v>
      </c>
      <c r="E25">
        <v>1</v>
      </c>
      <c r="F25">
        <v>1</v>
      </c>
      <c r="G25">
        <v>15</v>
      </c>
      <c r="H25">
        <v>2</v>
      </c>
      <c r="I25" t="s">
        <v>259</v>
      </c>
      <c r="J25" t="s">
        <v>260</v>
      </c>
      <c r="K25" t="s">
        <v>261</v>
      </c>
      <c r="L25">
        <v>1368</v>
      </c>
      <c r="N25">
        <v>1011</v>
      </c>
      <c r="O25" t="s">
        <v>219</v>
      </c>
      <c r="P25" t="s">
        <v>219</v>
      </c>
      <c r="Q25">
        <v>1</v>
      </c>
      <c r="X25">
        <v>18.25</v>
      </c>
      <c r="Y25">
        <v>0</v>
      </c>
      <c r="Z25">
        <v>1482.31</v>
      </c>
      <c r="AA25">
        <v>526.20000000000005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18.25</v>
      </c>
      <c r="AH25">
        <v>2</v>
      </c>
      <c r="AI25">
        <v>37600033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ROW(Source!A34)</f>
        <v>34</v>
      </c>
      <c r="B26">
        <v>37602356</v>
      </c>
      <c r="C26">
        <v>37600028</v>
      </c>
      <c r="D26">
        <v>34188265</v>
      </c>
      <c r="E26">
        <v>1</v>
      </c>
      <c r="F26">
        <v>1</v>
      </c>
      <c r="G26">
        <v>15</v>
      </c>
      <c r="H26">
        <v>2</v>
      </c>
      <c r="I26" t="s">
        <v>223</v>
      </c>
      <c r="J26" t="s">
        <v>224</v>
      </c>
      <c r="K26" t="s">
        <v>225</v>
      </c>
      <c r="L26">
        <v>1368</v>
      </c>
      <c r="N26">
        <v>1011</v>
      </c>
      <c r="O26" t="s">
        <v>219</v>
      </c>
      <c r="P26" t="s">
        <v>219</v>
      </c>
      <c r="Q26">
        <v>1</v>
      </c>
      <c r="X26">
        <v>2.2400000000000002</v>
      </c>
      <c r="Y26">
        <v>0</v>
      </c>
      <c r="Z26">
        <v>1142.6300000000001</v>
      </c>
      <c r="AA26">
        <v>468.35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2.2400000000000002</v>
      </c>
      <c r="AH26">
        <v>2</v>
      </c>
      <c r="AI26">
        <v>37600034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ROW(Source!A34)</f>
        <v>34</v>
      </c>
      <c r="B27">
        <v>37602357</v>
      </c>
      <c r="C27">
        <v>37600028</v>
      </c>
      <c r="D27">
        <v>34188313</v>
      </c>
      <c r="E27">
        <v>1</v>
      </c>
      <c r="F27">
        <v>1</v>
      </c>
      <c r="G27">
        <v>15</v>
      </c>
      <c r="H27">
        <v>2</v>
      </c>
      <c r="I27" t="s">
        <v>244</v>
      </c>
      <c r="J27" t="s">
        <v>245</v>
      </c>
      <c r="K27" t="s">
        <v>246</v>
      </c>
      <c r="L27">
        <v>1368</v>
      </c>
      <c r="N27">
        <v>1011</v>
      </c>
      <c r="O27" t="s">
        <v>219</v>
      </c>
      <c r="P27" t="s">
        <v>219</v>
      </c>
      <c r="Q27">
        <v>1</v>
      </c>
      <c r="X27">
        <v>0.65</v>
      </c>
      <c r="Y27">
        <v>0</v>
      </c>
      <c r="Z27">
        <v>1590.37</v>
      </c>
      <c r="AA27">
        <v>497.81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0.65</v>
      </c>
      <c r="AH27">
        <v>2</v>
      </c>
      <c r="AI27">
        <v>37600035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ROW(Source!A34)</f>
        <v>34</v>
      </c>
      <c r="B28">
        <v>37602358</v>
      </c>
      <c r="C28">
        <v>37600028</v>
      </c>
      <c r="D28">
        <v>34189676</v>
      </c>
      <c r="E28">
        <v>1</v>
      </c>
      <c r="F28">
        <v>1</v>
      </c>
      <c r="G28">
        <v>15</v>
      </c>
      <c r="H28">
        <v>3</v>
      </c>
      <c r="I28" t="s">
        <v>262</v>
      </c>
      <c r="J28" t="s">
        <v>263</v>
      </c>
      <c r="K28" t="s">
        <v>264</v>
      </c>
      <c r="L28">
        <v>1339</v>
      </c>
      <c r="N28">
        <v>1007</v>
      </c>
      <c r="O28" t="s">
        <v>115</v>
      </c>
      <c r="P28" t="s">
        <v>115</v>
      </c>
      <c r="Q28">
        <v>1</v>
      </c>
      <c r="X28">
        <v>126</v>
      </c>
      <c r="Y28">
        <v>1910.98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126</v>
      </c>
      <c r="AH28">
        <v>2</v>
      </c>
      <c r="AI28">
        <v>37600036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ROW(Source!A34)</f>
        <v>34</v>
      </c>
      <c r="B29">
        <v>37602359</v>
      </c>
      <c r="C29">
        <v>37600028</v>
      </c>
      <c r="D29">
        <v>34190363</v>
      </c>
      <c r="E29">
        <v>1</v>
      </c>
      <c r="F29">
        <v>1</v>
      </c>
      <c r="G29">
        <v>15</v>
      </c>
      <c r="H29">
        <v>3</v>
      </c>
      <c r="I29" t="s">
        <v>250</v>
      </c>
      <c r="J29" t="s">
        <v>251</v>
      </c>
      <c r="K29" t="s">
        <v>252</v>
      </c>
      <c r="L29">
        <v>1339</v>
      </c>
      <c r="N29">
        <v>1007</v>
      </c>
      <c r="O29" t="s">
        <v>115</v>
      </c>
      <c r="P29" t="s">
        <v>115</v>
      </c>
      <c r="Q29">
        <v>1</v>
      </c>
      <c r="X29">
        <v>7</v>
      </c>
      <c r="Y29">
        <v>28.77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7</v>
      </c>
      <c r="AH29">
        <v>2</v>
      </c>
      <c r="AI29">
        <v>37600037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ROW(Source!A35)</f>
        <v>35</v>
      </c>
      <c r="B30">
        <v>37602360</v>
      </c>
      <c r="C30">
        <v>37600047</v>
      </c>
      <c r="D30">
        <v>34176775</v>
      </c>
      <c r="E30">
        <v>15</v>
      </c>
      <c r="F30">
        <v>1</v>
      </c>
      <c r="G30">
        <v>15</v>
      </c>
      <c r="H30">
        <v>1</v>
      </c>
      <c r="I30" t="s">
        <v>213</v>
      </c>
      <c r="J30" t="s">
        <v>3</v>
      </c>
      <c r="K30" t="s">
        <v>214</v>
      </c>
      <c r="L30">
        <v>1191</v>
      </c>
      <c r="N30">
        <v>1013</v>
      </c>
      <c r="O30" t="s">
        <v>215</v>
      </c>
      <c r="P30" t="s">
        <v>215</v>
      </c>
      <c r="Q30">
        <v>1</v>
      </c>
      <c r="X30">
        <v>13.57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1</v>
      </c>
      <c r="AF30" t="s">
        <v>3</v>
      </c>
      <c r="AG30">
        <v>13.57</v>
      </c>
      <c r="AH30">
        <v>2</v>
      </c>
      <c r="AI30">
        <v>37600048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ROW(Source!A35)</f>
        <v>35</v>
      </c>
      <c r="B31">
        <v>37602361</v>
      </c>
      <c r="C31">
        <v>37600047</v>
      </c>
      <c r="D31">
        <v>34188316</v>
      </c>
      <c r="E31">
        <v>1</v>
      </c>
      <c r="F31">
        <v>1</v>
      </c>
      <c r="G31">
        <v>15</v>
      </c>
      <c r="H31">
        <v>2</v>
      </c>
      <c r="I31" t="s">
        <v>265</v>
      </c>
      <c r="J31" t="s">
        <v>266</v>
      </c>
      <c r="K31" t="s">
        <v>267</v>
      </c>
      <c r="L31">
        <v>1368</v>
      </c>
      <c r="N31">
        <v>1011</v>
      </c>
      <c r="O31" t="s">
        <v>219</v>
      </c>
      <c r="P31" t="s">
        <v>219</v>
      </c>
      <c r="Q31">
        <v>1</v>
      </c>
      <c r="X31">
        <v>0.46</v>
      </c>
      <c r="Y31">
        <v>0</v>
      </c>
      <c r="Z31">
        <v>628.07000000000005</v>
      </c>
      <c r="AA31">
        <v>377.51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0.46</v>
      </c>
      <c r="AH31">
        <v>2</v>
      </c>
      <c r="AI31">
        <v>37600049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ROW(Source!A35)</f>
        <v>35</v>
      </c>
      <c r="B32">
        <v>37602362</v>
      </c>
      <c r="C32">
        <v>37600047</v>
      </c>
      <c r="D32">
        <v>34188315</v>
      </c>
      <c r="E32">
        <v>1</v>
      </c>
      <c r="F32">
        <v>1</v>
      </c>
      <c r="G32">
        <v>15</v>
      </c>
      <c r="H32">
        <v>2</v>
      </c>
      <c r="I32" t="s">
        <v>268</v>
      </c>
      <c r="J32" t="s">
        <v>269</v>
      </c>
      <c r="K32" t="s">
        <v>270</v>
      </c>
      <c r="L32">
        <v>1368</v>
      </c>
      <c r="N32">
        <v>1011</v>
      </c>
      <c r="O32" t="s">
        <v>219</v>
      </c>
      <c r="P32" t="s">
        <v>219</v>
      </c>
      <c r="Q32">
        <v>1</v>
      </c>
      <c r="X32">
        <v>1.39</v>
      </c>
      <c r="Y32">
        <v>0</v>
      </c>
      <c r="Z32">
        <v>681</v>
      </c>
      <c r="AA32">
        <v>389.98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1.39</v>
      </c>
      <c r="AH32">
        <v>2</v>
      </c>
      <c r="AI32">
        <v>37600050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ROW(Source!A35)</f>
        <v>35</v>
      </c>
      <c r="B33">
        <v>37602363</v>
      </c>
      <c r="C33">
        <v>37600047</v>
      </c>
      <c r="D33">
        <v>34191424</v>
      </c>
      <c r="E33">
        <v>1</v>
      </c>
      <c r="F33">
        <v>1</v>
      </c>
      <c r="G33">
        <v>15</v>
      </c>
      <c r="H33">
        <v>3</v>
      </c>
      <c r="I33" t="s">
        <v>271</v>
      </c>
      <c r="J33" t="s">
        <v>272</v>
      </c>
      <c r="K33" t="s">
        <v>273</v>
      </c>
      <c r="L33">
        <v>1348</v>
      </c>
      <c r="N33">
        <v>1009</v>
      </c>
      <c r="O33" t="s">
        <v>29</v>
      </c>
      <c r="P33" t="s">
        <v>29</v>
      </c>
      <c r="Q33">
        <v>1000</v>
      </c>
      <c r="X33">
        <v>9.58</v>
      </c>
      <c r="Y33">
        <v>2314.4499999999998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54</v>
      </c>
      <c r="AG33">
        <v>11.975</v>
      </c>
      <c r="AH33">
        <v>2</v>
      </c>
      <c r="AI33">
        <v>37600051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ROW(Source!A70)</f>
        <v>70</v>
      </c>
      <c r="B34">
        <v>37602364</v>
      </c>
      <c r="C34">
        <v>37600056</v>
      </c>
      <c r="D34">
        <v>34176775</v>
      </c>
      <c r="E34">
        <v>15</v>
      </c>
      <c r="F34">
        <v>1</v>
      </c>
      <c r="G34">
        <v>15</v>
      </c>
      <c r="H34">
        <v>1</v>
      </c>
      <c r="I34" t="s">
        <v>213</v>
      </c>
      <c r="J34" t="s">
        <v>3</v>
      </c>
      <c r="K34" t="s">
        <v>214</v>
      </c>
      <c r="L34">
        <v>1191</v>
      </c>
      <c r="N34">
        <v>1013</v>
      </c>
      <c r="O34" t="s">
        <v>215</v>
      </c>
      <c r="P34" t="s">
        <v>215</v>
      </c>
      <c r="Q34">
        <v>1</v>
      </c>
      <c r="X34">
        <v>1.05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1</v>
      </c>
      <c r="AF34" t="s">
        <v>3</v>
      </c>
      <c r="AG34">
        <v>1.05</v>
      </c>
      <c r="AH34">
        <v>2</v>
      </c>
      <c r="AI34">
        <v>37600057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ROW(Source!A70)</f>
        <v>70</v>
      </c>
      <c r="B35">
        <v>37602365</v>
      </c>
      <c r="C35">
        <v>37600056</v>
      </c>
      <c r="D35">
        <v>34188481</v>
      </c>
      <c r="E35">
        <v>1</v>
      </c>
      <c r="F35">
        <v>1</v>
      </c>
      <c r="G35">
        <v>15</v>
      </c>
      <c r="H35">
        <v>2</v>
      </c>
      <c r="I35" t="s">
        <v>274</v>
      </c>
      <c r="J35" t="s">
        <v>275</v>
      </c>
      <c r="K35" t="s">
        <v>276</v>
      </c>
      <c r="L35">
        <v>1368</v>
      </c>
      <c r="N35">
        <v>1011</v>
      </c>
      <c r="O35" t="s">
        <v>219</v>
      </c>
      <c r="P35" t="s">
        <v>219</v>
      </c>
      <c r="Q35">
        <v>1</v>
      </c>
      <c r="X35">
        <v>0.82</v>
      </c>
      <c r="Y35">
        <v>0</v>
      </c>
      <c r="Z35">
        <v>770.83</v>
      </c>
      <c r="AA35">
        <v>421.3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0.82</v>
      </c>
      <c r="AH35">
        <v>2</v>
      </c>
      <c r="AI35">
        <v>37600058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ROW(Source!A70)</f>
        <v>70</v>
      </c>
      <c r="B36">
        <v>37602366</v>
      </c>
      <c r="C36">
        <v>37600056</v>
      </c>
      <c r="D36">
        <v>34188505</v>
      </c>
      <c r="E36">
        <v>1</v>
      </c>
      <c r="F36">
        <v>1</v>
      </c>
      <c r="G36">
        <v>15</v>
      </c>
      <c r="H36">
        <v>2</v>
      </c>
      <c r="I36" t="s">
        <v>277</v>
      </c>
      <c r="J36" t="s">
        <v>278</v>
      </c>
      <c r="K36" t="s">
        <v>279</v>
      </c>
      <c r="L36">
        <v>1368</v>
      </c>
      <c r="N36">
        <v>1011</v>
      </c>
      <c r="O36" t="s">
        <v>219</v>
      </c>
      <c r="P36" t="s">
        <v>219</v>
      </c>
      <c r="Q36">
        <v>1</v>
      </c>
      <c r="X36">
        <v>3.54</v>
      </c>
      <c r="Y36">
        <v>0</v>
      </c>
      <c r="Z36">
        <v>1217.8599999999999</v>
      </c>
      <c r="AA36">
        <v>470.88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3.54</v>
      </c>
      <c r="AH36">
        <v>2</v>
      </c>
      <c r="AI36">
        <v>37600059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ROW(Source!A71)</f>
        <v>71</v>
      </c>
      <c r="B37">
        <v>37602367</v>
      </c>
      <c r="C37">
        <v>37600063</v>
      </c>
      <c r="D37">
        <v>34187830</v>
      </c>
      <c r="E37">
        <v>1</v>
      </c>
      <c r="F37">
        <v>1</v>
      </c>
      <c r="G37">
        <v>15</v>
      </c>
      <c r="H37">
        <v>2</v>
      </c>
      <c r="I37" t="s">
        <v>235</v>
      </c>
      <c r="J37" t="s">
        <v>236</v>
      </c>
      <c r="K37" t="s">
        <v>237</v>
      </c>
      <c r="L37">
        <v>1368</v>
      </c>
      <c r="N37">
        <v>1011</v>
      </c>
      <c r="O37" t="s">
        <v>219</v>
      </c>
      <c r="P37" t="s">
        <v>219</v>
      </c>
      <c r="Q37">
        <v>1</v>
      </c>
      <c r="X37">
        <v>3.1E-2</v>
      </c>
      <c r="Y37">
        <v>0</v>
      </c>
      <c r="Z37">
        <v>939.75</v>
      </c>
      <c r="AA37">
        <v>473.4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3.1E-2</v>
      </c>
      <c r="AH37">
        <v>2</v>
      </c>
      <c r="AI37">
        <v>37600064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ROW(Source!A72)</f>
        <v>72</v>
      </c>
      <c r="B38">
        <v>37602368</v>
      </c>
      <c r="C38">
        <v>37600066</v>
      </c>
      <c r="D38">
        <v>34187830</v>
      </c>
      <c r="E38">
        <v>1</v>
      </c>
      <c r="F38">
        <v>1</v>
      </c>
      <c r="G38">
        <v>15</v>
      </c>
      <c r="H38">
        <v>2</v>
      </c>
      <c r="I38" t="s">
        <v>235</v>
      </c>
      <c r="J38" t="s">
        <v>236</v>
      </c>
      <c r="K38" t="s">
        <v>237</v>
      </c>
      <c r="L38">
        <v>1368</v>
      </c>
      <c r="N38">
        <v>1011</v>
      </c>
      <c r="O38" t="s">
        <v>219</v>
      </c>
      <c r="P38" t="s">
        <v>219</v>
      </c>
      <c r="Q38">
        <v>1</v>
      </c>
      <c r="X38">
        <v>0.01</v>
      </c>
      <c r="Y38">
        <v>0</v>
      </c>
      <c r="Z38">
        <v>939.75</v>
      </c>
      <c r="AA38">
        <v>473.4</v>
      </c>
      <c r="AB38">
        <v>0</v>
      </c>
      <c r="AC38">
        <v>0</v>
      </c>
      <c r="AD38">
        <v>1</v>
      </c>
      <c r="AE38">
        <v>0</v>
      </c>
      <c r="AF38" t="s">
        <v>121</v>
      </c>
      <c r="AG38">
        <v>0.26</v>
      </c>
      <c r="AH38">
        <v>2</v>
      </c>
      <c r="AI38">
        <v>37600067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ROW(Source!A73)</f>
        <v>73</v>
      </c>
      <c r="B39">
        <v>37602369</v>
      </c>
      <c r="C39">
        <v>37600069</v>
      </c>
      <c r="D39">
        <v>34176775</v>
      </c>
      <c r="E39">
        <v>15</v>
      </c>
      <c r="F39">
        <v>1</v>
      </c>
      <c r="G39">
        <v>15</v>
      </c>
      <c r="H39">
        <v>1</v>
      </c>
      <c r="I39" t="s">
        <v>213</v>
      </c>
      <c r="J39" t="s">
        <v>3</v>
      </c>
      <c r="K39" t="s">
        <v>214</v>
      </c>
      <c r="L39">
        <v>1191</v>
      </c>
      <c r="N39">
        <v>1013</v>
      </c>
      <c r="O39" t="s">
        <v>215</v>
      </c>
      <c r="P39" t="s">
        <v>215</v>
      </c>
      <c r="Q39">
        <v>1</v>
      </c>
      <c r="X39">
        <v>16.559999999999999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1</v>
      </c>
      <c r="AF39" t="s">
        <v>3</v>
      </c>
      <c r="AG39">
        <v>16.559999999999999</v>
      </c>
      <c r="AH39">
        <v>2</v>
      </c>
      <c r="AI39">
        <v>37600070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ROW(Source!A73)</f>
        <v>73</v>
      </c>
      <c r="B40">
        <v>37602370</v>
      </c>
      <c r="C40">
        <v>37600069</v>
      </c>
      <c r="D40">
        <v>34188463</v>
      </c>
      <c r="E40">
        <v>1</v>
      </c>
      <c r="F40">
        <v>1</v>
      </c>
      <c r="G40">
        <v>15</v>
      </c>
      <c r="H40">
        <v>2</v>
      </c>
      <c r="I40" t="s">
        <v>226</v>
      </c>
      <c r="J40" t="s">
        <v>227</v>
      </c>
      <c r="K40" t="s">
        <v>228</v>
      </c>
      <c r="L40">
        <v>1368</v>
      </c>
      <c r="N40">
        <v>1011</v>
      </c>
      <c r="O40" t="s">
        <v>219</v>
      </c>
      <c r="P40" t="s">
        <v>219</v>
      </c>
      <c r="Q40">
        <v>1</v>
      </c>
      <c r="X40">
        <v>2.08</v>
      </c>
      <c r="Y40">
        <v>0</v>
      </c>
      <c r="Z40">
        <v>936.41</v>
      </c>
      <c r="AA40">
        <v>403.45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2.08</v>
      </c>
      <c r="AH40">
        <v>2</v>
      </c>
      <c r="AI40">
        <v>37600071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ROW(Source!A73)</f>
        <v>73</v>
      </c>
      <c r="B41">
        <v>37602371</v>
      </c>
      <c r="C41">
        <v>37600069</v>
      </c>
      <c r="D41">
        <v>34188306</v>
      </c>
      <c r="E41">
        <v>1</v>
      </c>
      <c r="F41">
        <v>1</v>
      </c>
      <c r="G41">
        <v>15</v>
      </c>
      <c r="H41">
        <v>2</v>
      </c>
      <c r="I41" t="s">
        <v>238</v>
      </c>
      <c r="J41" t="s">
        <v>239</v>
      </c>
      <c r="K41" t="s">
        <v>240</v>
      </c>
      <c r="L41">
        <v>1368</v>
      </c>
      <c r="N41">
        <v>1011</v>
      </c>
      <c r="O41" t="s">
        <v>219</v>
      </c>
      <c r="P41" t="s">
        <v>219</v>
      </c>
      <c r="Q41">
        <v>1</v>
      </c>
      <c r="X41">
        <v>2.08</v>
      </c>
      <c r="Y41">
        <v>0</v>
      </c>
      <c r="Z41">
        <v>354.92</v>
      </c>
      <c r="AA41">
        <v>157.22999999999999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2.08</v>
      </c>
      <c r="AH41">
        <v>2</v>
      </c>
      <c r="AI41">
        <v>37600072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ROW(Source!A73)</f>
        <v>73</v>
      </c>
      <c r="B42">
        <v>37602372</v>
      </c>
      <c r="C42">
        <v>37600069</v>
      </c>
      <c r="D42">
        <v>34188303</v>
      </c>
      <c r="E42">
        <v>1</v>
      </c>
      <c r="F42">
        <v>1</v>
      </c>
      <c r="G42">
        <v>15</v>
      </c>
      <c r="H42">
        <v>2</v>
      </c>
      <c r="I42" t="s">
        <v>241</v>
      </c>
      <c r="J42" t="s">
        <v>242</v>
      </c>
      <c r="K42" t="s">
        <v>243</v>
      </c>
      <c r="L42">
        <v>1368</v>
      </c>
      <c r="N42">
        <v>1011</v>
      </c>
      <c r="O42" t="s">
        <v>219</v>
      </c>
      <c r="P42" t="s">
        <v>219</v>
      </c>
      <c r="Q42">
        <v>1</v>
      </c>
      <c r="X42">
        <v>0.81</v>
      </c>
      <c r="Y42">
        <v>0</v>
      </c>
      <c r="Z42">
        <v>1527.34</v>
      </c>
      <c r="AA42">
        <v>334.88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0.81</v>
      </c>
      <c r="AH42">
        <v>2</v>
      </c>
      <c r="AI42">
        <v>37600073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ROW(Source!A73)</f>
        <v>73</v>
      </c>
      <c r="B43">
        <v>37602373</v>
      </c>
      <c r="C43">
        <v>37600069</v>
      </c>
      <c r="D43">
        <v>34188265</v>
      </c>
      <c r="E43">
        <v>1</v>
      </c>
      <c r="F43">
        <v>1</v>
      </c>
      <c r="G43">
        <v>15</v>
      </c>
      <c r="H43">
        <v>2</v>
      </c>
      <c r="I43" t="s">
        <v>223</v>
      </c>
      <c r="J43" t="s">
        <v>224</v>
      </c>
      <c r="K43" t="s">
        <v>225</v>
      </c>
      <c r="L43">
        <v>1368</v>
      </c>
      <c r="N43">
        <v>1011</v>
      </c>
      <c r="O43" t="s">
        <v>219</v>
      </c>
      <c r="P43" t="s">
        <v>219</v>
      </c>
      <c r="Q43">
        <v>1</v>
      </c>
      <c r="X43">
        <v>1.94</v>
      </c>
      <c r="Y43">
        <v>0</v>
      </c>
      <c r="Z43">
        <v>1142.6300000000001</v>
      </c>
      <c r="AA43">
        <v>468.35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1.94</v>
      </c>
      <c r="AH43">
        <v>2</v>
      </c>
      <c r="AI43">
        <v>37600074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ROW(Source!A73)</f>
        <v>73</v>
      </c>
      <c r="B44">
        <v>37602374</v>
      </c>
      <c r="C44">
        <v>37600069</v>
      </c>
      <c r="D44">
        <v>34188313</v>
      </c>
      <c r="E44">
        <v>1</v>
      </c>
      <c r="F44">
        <v>1</v>
      </c>
      <c r="G44">
        <v>15</v>
      </c>
      <c r="H44">
        <v>2</v>
      </c>
      <c r="I44" t="s">
        <v>244</v>
      </c>
      <c r="J44" t="s">
        <v>245</v>
      </c>
      <c r="K44" t="s">
        <v>246</v>
      </c>
      <c r="L44">
        <v>1368</v>
      </c>
      <c r="N44">
        <v>1011</v>
      </c>
      <c r="O44" t="s">
        <v>219</v>
      </c>
      <c r="P44" t="s">
        <v>219</v>
      </c>
      <c r="Q44">
        <v>1</v>
      </c>
      <c r="X44">
        <v>0.65</v>
      </c>
      <c r="Y44">
        <v>0</v>
      </c>
      <c r="Z44">
        <v>1590.37</v>
      </c>
      <c r="AA44">
        <v>497.81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0.65</v>
      </c>
      <c r="AH44">
        <v>2</v>
      </c>
      <c r="AI44">
        <v>37600075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ROW(Source!A73)</f>
        <v>73</v>
      </c>
      <c r="B45">
        <v>37602375</v>
      </c>
      <c r="C45">
        <v>37600069</v>
      </c>
      <c r="D45">
        <v>34189650</v>
      </c>
      <c r="E45">
        <v>1</v>
      </c>
      <c r="F45">
        <v>1</v>
      </c>
      <c r="G45">
        <v>15</v>
      </c>
      <c r="H45">
        <v>3</v>
      </c>
      <c r="I45" t="s">
        <v>247</v>
      </c>
      <c r="J45" t="s">
        <v>248</v>
      </c>
      <c r="K45" t="s">
        <v>249</v>
      </c>
      <c r="L45">
        <v>1339</v>
      </c>
      <c r="N45">
        <v>1007</v>
      </c>
      <c r="O45" t="s">
        <v>115</v>
      </c>
      <c r="P45" t="s">
        <v>115</v>
      </c>
      <c r="Q45">
        <v>1</v>
      </c>
      <c r="X45">
        <v>110</v>
      </c>
      <c r="Y45">
        <v>559.23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110</v>
      </c>
      <c r="AH45">
        <v>2</v>
      </c>
      <c r="AI45">
        <v>37600076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ROW(Source!A73)</f>
        <v>73</v>
      </c>
      <c r="B46">
        <v>37602376</v>
      </c>
      <c r="C46">
        <v>37600069</v>
      </c>
      <c r="D46">
        <v>34190363</v>
      </c>
      <c r="E46">
        <v>1</v>
      </c>
      <c r="F46">
        <v>1</v>
      </c>
      <c r="G46">
        <v>15</v>
      </c>
      <c r="H46">
        <v>3</v>
      </c>
      <c r="I46" t="s">
        <v>250</v>
      </c>
      <c r="J46" t="s">
        <v>251</v>
      </c>
      <c r="K46" t="s">
        <v>252</v>
      </c>
      <c r="L46">
        <v>1339</v>
      </c>
      <c r="N46">
        <v>1007</v>
      </c>
      <c r="O46" t="s">
        <v>115</v>
      </c>
      <c r="P46" t="s">
        <v>115</v>
      </c>
      <c r="Q46">
        <v>1</v>
      </c>
      <c r="X46">
        <v>5</v>
      </c>
      <c r="Y46">
        <v>28.77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5</v>
      </c>
      <c r="AH46">
        <v>2</v>
      </c>
      <c r="AI46">
        <v>37600077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ROW(Source!A74)</f>
        <v>74</v>
      </c>
      <c r="B47">
        <v>37602377</v>
      </c>
      <c r="C47">
        <v>37600086</v>
      </c>
      <c r="D47">
        <v>34176775</v>
      </c>
      <c r="E47">
        <v>15</v>
      </c>
      <c r="F47">
        <v>1</v>
      </c>
      <c r="G47">
        <v>15</v>
      </c>
      <c r="H47">
        <v>1</v>
      </c>
      <c r="I47" t="s">
        <v>213</v>
      </c>
      <c r="J47" t="s">
        <v>3</v>
      </c>
      <c r="K47" t="s">
        <v>214</v>
      </c>
      <c r="L47">
        <v>1191</v>
      </c>
      <c r="N47">
        <v>1013</v>
      </c>
      <c r="O47" t="s">
        <v>215</v>
      </c>
      <c r="P47" t="s">
        <v>215</v>
      </c>
      <c r="Q47">
        <v>1</v>
      </c>
      <c r="X47">
        <v>24.84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1</v>
      </c>
      <c r="AF47" t="s">
        <v>3</v>
      </c>
      <c r="AG47">
        <v>24.84</v>
      </c>
      <c r="AH47">
        <v>2</v>
      </c>
      <c r="AI47">
        <v>37600087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ROW(Source!A74)</f>
        <v>74</v>
      </c>
      <c r="B48">
        <v>37602378</v>
      </c>
      <c r="C48">
        <v>37600086</v>
      </c>
      <c r="D48">
        <v>34188482</v>
      </c>
      <c r="E48">
        <v>1</v>
      </c>
      <c r="F48">
        <v>1</v>
      </c>
      <c r="G48">
        <v>15</v>
      </c>
      <c r="H48">
        <v>2</v>
      </c>
      <c r="I48" t="s">
        <v>253</v>
      </c>
      <c r="J48" t="s">
        <v>254</v>
      </c>
      <c r="K48" t="s">
        <v>255</v>
      </c>
      <c r="L48">
        <v>1368</v>
      </c>
      <c r="N48">
        <v>1011</v>
      </c>
      <c r="O48" t="s">
        <v>219</v>
      </c>
      <c r="P48" t="s">
        <v>219</v>
      </c>
      <c r="Q48">
        <v>1</v>
      </c>
      <c r="X48">
        <v>2.94</v>
      </c>
      <c r="Y48">
        <v>0</v>
      </c>
      <c r="Z48">
        <v>711.82</v>
      </c>
      <c r="AA48">
        <v>363.48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2.94</v>
      </c>
      <c r="AH48">
        <v>2</v>
      </c>
      <c r="AI48">
        <v>37600088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ROW(Source!A74)</f>
        <v>74</v>
      </c>
      <c r="B49">
        <v>37602379</v>
      </c>
      <c r="C49">
        <v>37600086</v>
      </c>
      <c r="D49">
        <v>34188303</v>
      </c>
      <c r="E49">
        <v>1</v>
      </c>
      <c r="F49">
        <v>1</v>
      </c>
      <c r="G49">
        <v>15</v>
      </c>
      <c r="H49">
        <v>2</v>
      </c>
      <c r="I49" t="s">
        <v>241</v>
      </c>
      <c r="J49" t="s">
        <v>242</v>
      </c>
      <c r="K49" t="s">
        <v>243</v>
      </c>
      <c r="L49">
        <v>1368</v>
      </c>
      <c r="N49">
        <v>1011</v>
      </c>
      <c r="O49" t="s">
        <v>219</v>
      </c>
      <c r="P49" t="s">
        <v>219</v>
      </c>
      <c r="Q49">
        <v>1</v>
      </c>
      <c r="X49">
        <v>1.1399999999999999</v>
      </c>
      <c r="Y49">
        <v>0</v>
      </c>
      <c r="Z49">
        <v>1527.34</v>
      </c>
      <c r="AA49">
        <v>334.88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1.1399999999999999</v>
      </c>
      <c r="AH49">
        <v>2</v>
      </c>
      <c r="AI49">
        <v>37600089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ROW(Source!A74)</f>
        <v>74</v>
      </c>
      <c r="B50">
        <v>37602380</v>
      </c>
      <c r="C50">
        <v>37600086</v>
      </c>
      <c r="D50">
        <v>34188322</v>
      </c>
      <c r="E50">
        <v>1</v>
      </c>
      <c r="F50">
        <v>1</v>
      </c>
      <c r="G50">
        <v>15</v>
      </c>
      <c r="H50">
        <v>2</v>
      </c>
      <c r="I50" t="s">
        <v>256</v>
      </c>
      <c r="J50" t="s">
        <v>257</v>
      </c>
      <c r="K50" t="s">
        <v>258</v>
      </c>
      <c r="L50">
        <v>1368</v>
      </c>
      <c r="N50">
        <v>1011</v>
      </c>
      <c r="O50" t="s">
        <v>219</v>
      </c>
      <c r="P50" t="s">
        <v>219</v>
      </c>
      <c r="Q50">
        <v>1</v>
      </c>
      <c r="X50">
        <v>8.9600000000000009</v>
      </c>
      <c r="Y50">
        <v>0</v>
      </c>
      <c r="Z50">
        <v>984.76</v>
      </c>
      <c r="AA50">
        <v>387.07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8.9600000000000009</v>
      </c>
      <c r="AH50">
        <v>2</v>
      </c>
      <c r="AI50">
        <v>37600090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ROW(Source!A74)</f>
        <v>74</v>
      </c>
      <c r="B51">
        <v>37602381</v>
      </c>
      <c r="C51">
        <v>37600086</v>
      </c>
      <c r="D51">
        <v>34188321</v>
      </c>
      <c r="E51">
        <v>1</v>
      </c>
      <c r="F51">
        <v>1</v>
      </c>
      <c r="G51">
        <v>15</v>
      </c>
      <c r="H51">
        <v>2</v>
      </c>
      <c r="I51" t="s">
        <v>259</v>
      </c>
      <c r="J51" t="s">
        <v>260</v>
      </c>
      <c r="K51" t="s">
        <v>261</v>
      </c>
      <c r="L51">
        <v>1368</v>
      </c>
      <c r="N51">
        <v>1011</v>
      </c>
      <c r="O51" t="s">
        <v>219</v>
      </c>
      <c r="P51" t="s">
        <v>219</v>
      </c>
      <c r="Q51">
        <v>1</v>
      </c>
      <c r="X51">
        <v>18.25</v>
      </c>
      <c r="Y51">
        <v>0</v>
      </c>
      <c r="Z51">
        <v>1482.31</v>
      </c>
      <c r="AA51">
        <v>526.20000000000005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18.25</v>
      </c>
      <c r="AH51">
        <v>2</v>
      </c>
      <c r="AI51">
        <v>37600091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ROW(Source!A74)</f>
        <v>74</v>
      </c>
      <c r="B52">
        <v>37602382</v>
      </c>
      <c r="C52">
        <v>37600086</v>
      </c>
      <c r="D52">
        <v>34188265</v>
      </c>
      <c r="E52">
        <v>1</v>
      </c>
      <c r="F52">
        <v>1</v>
      </c>
      <c r="G52">
        <v>15</v>
      </c>
      <c r="H52">
        <v>2</v>
      </c>
      <c r="I52" t="s">
        <v>223</v>
      </c>
      <c r="J52" t="s">
        <v>224</v>
      </c>
      <c r="K52" t="s">
        <v>225</v>
      </c>
      <c r="L52">
        <v>1368</v>
      </c>
      <c r="N52">
        <v>1011</v>
      </c>
      <c r="O52" t="s">
        <v>219</v>
      </c>
      <c r="P52" t="s">
        <v>219</v>
      </c>
      <c r="Q52">
        <v>1</v>
      </c>
      <c r="X52">
        <v>2.2400000000000002</v>
      </c>
      <c r="Y52">
        <v>0</v>
      </c>
      <c r="Z52">
        <v>1142.6300000000001</v>
      </c>
      <c r="AA52">
        <v>468.35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2.2400000000000002</v>
      </c>
      <c r="AH52">
        <v>2</v>
      </c>
      <c r="AI52">
        <v>37600092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ROW(Source!A74)</f>
        <v>74</v>
      </c>
      <c r="B53">
        <v>37602383</v>
      </c>
      <c r="C53">
        <v>37600086</v>
      </c>
      <c r="D53">
        <v>34188313</v>
      </c>
      <c r="E53">
        <v>1</v>
      </c>
      <c r="F53">
        <v>1</v>
      </c>
      <c r="G53">
        <v>15</v>
      </c>
      <c r="H53">
        <v>2</v>
      </c>
      <c r="I53" t="s">
        <v>244</v>
      </c>
      <c r="J53" t="s">
        <v>245</v>
      </c>
      <c r="K53" t="s">
        <v>246</v>
      </c>
      <c r="L53">
        <v>1368</v>
      </c>
      <c r="N53">
        <v>1011</v>
      </c>
      <c r="O53" t="s">
        <v>219</v>
      </c>
      <c r="P53" t="s">
        <v>219</v>
      </c>
      <c r="Q53">
        <v>1</v>
      </c>
      <c r="X53">
        <v>0.65</v>
      </c>
      <c r="Y53">
        <v>0</v>
      </c>
      <c r="Z53">
        <v>1590.37</v>
      </c>
      <c r="AA53">
        <v>497.81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0.65</v>
      </c>
      <c r="AH53">
        <v>2</v>
      </c>
      <c r="AI53">
        <v>37600093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ROW(Source!A74)</f>
        <v>74</v>
      </c>
      <c r="B54">
        <v>37602384</v>
      </c>
      <c r="C54">
        <v>37600086</v>
      </c>
      <c r="D54">
        <v>34189676</v>
      </c>
      <c r="E54">
        <v>1</v>
      </c>
      <c r="F54">
        <v>1</v>
      </c>
      <c r="G54">
        <v>15</v>
      </c>
      <c r="H54">
        <v>3</v>
      </c>
      <c r="I54" t="s">
        <v>262</v>
      </c>
      <c r="J54" t="s">
        <v>263</v>
      </c>
      <c r="K54" t="s">
        <v>264</v>
      </c>
      <c r="L54">
        <v>1339</v>
      </c>
      <c r="N54">
        <v>1007</v>
      </c>
      <c r="O54" t="s">
        <v>115</v>
      </c>
      <c r="P54" t="s">
        <v>115</v>
      </c>
      <c r="Q54">
        <v>1</v>
      </c>
      <c r="X54">
        <v>126</v>
      </c>
      <c r="Y54">
        <v>1910.98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126</v>
      </c>
      <c r="AH54">
        <v>2</v>
      </c>
      <c r="AI54">
        <v>37600094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ROW(Source!A74)</f>
        <v>74</v>
      </c>
      <c r="B55">
        <v>37602385</v>
      </c>
      <c r="C55">
        <v>37600086</v>
      </c>
      <c r="D55">
        <v>34190363</v>
      </c>
      <c r="E55">
        <v>1</v>
      </c>
      <c r="F55">
        <v>1</v>
      </c>
      <c r="G55">
        <v>15</v>
      </c>
      <c r="H55">
        <v>3</v>
      </c>
      <c r="I55" t="s">
        <v>250</v>
      </c>
      <c r="J55" t="s">
        <v>251</v>
      </c>
      <c r="K55" t="s">
        <v>252</v>
      </c>
      <c r="L55">
        <v>1339</v>
      </c>
      <c r="N55">
        <v>1007</v>
      </c>
      <c r="O55" t="s">
        <v>115</v>
      </c>
      <c r="P55" t="s">
        <v>115</v>
      </c>
      <c r="Q55">
        <v>1</v>
      </c>
      <c r="X55">
        <v>7</v>
      </c>
      <c r="Y55">
        <v>28.77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7</v>
      </c>
      <c r="AH55">
        <v>2</v>
      </c>
      <c r="AI55">
        <v>37600095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ROW(Source!A75)</f>
        <v>75</v>
      </c>
      <c r="B56">
        <v>37602386</v>
      </c>
      <c r="C56">
        <v>37600105</v>
      </c>
      <c r="D56">
        <v>34176775</v>
      </c>
      <c r="E56">
        <v>15</v>
      </c>
      <c r="F56">
        <v>1</v>
      </c>
      <c r="G56">
        <v>15</v>
      </c>
      <c r="H56">
        <v>1</v>
      </c>
      <c r="I56" t="s">
        <v>213</v>
      </c>
      <c r="J56" t="s">
        <v>3</v>
      </c>
      <c r="K56" t="s">
        <v>214</v>
      </c>
      <c r="L56">
        <v>1191</v>
      </c>
      <c r="N56">
        <v>1013</v>
      </c>
      <c r="O56" t="s">
        <v>215</v>
      </c>
      <c r="P56" t="s">
        <v>215</v>
      </c>
      <c r="Q56">
        <v>1</v>
      </c>
      <c r="X56">
        <v>13.57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1</v>
      </c>
      <c r="AF56" t="s">
        <v>3</v>
      </c>
      <c r="AG56">
        <v>13.57</v>
      </c>
      <c r="AH56">
        <v>2</v>
      </c>
      <c r="AI56">
        <v>37600106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ROW(Source!A75)</f>
        <v>75</v>
      </c>
      <c r="B57">
        <v>37602387</v>
      </c>
      <c r="C57">
        <v>37600105</v>
      </c>
      <c r="D57">
        <v>34188316</v>
      </c>
      <c r="E57">
        <v>1</v>
      </c>
      <c r="F57">
        <v>1</v>
      </c>
      <c r="G57">
        <v>15</v>
      </c>
      <c r="H57">
        <v>2</v>
      </c>
      <c r="I57" t="s">
        <v>265</v>
      </c>
      <c r="J57" t="s">
        <v>266</v>
      </c>
      <c r="K57" t="s">
        <v>267</v>
      </c>
      <c r="L57">
        <v>1368</v>
      </c>
      <c r="N57">
        <v>1011</v>
      </c>
      <c r="O57" t="s">
        <v>219</v>
      </c>
      <c r="P57" t="s">
        <v>219</v>
      </c>
      <c r="Q57">
        <v>1</v>
      </c>
      <c r="X57">
        <v>0.46</v>
      </c>
      <c r="Y57">
        <v>0</v>
      </c>
      <c r="Z57">
        <v>628.07000000000005</v>
      </c>
      <c r="AA57">
        <v>377.51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0.46</v>
      </c>
      <c r="AH57">
        <v>2</v>
      </c>
      <c r="AI57">
        <v>37600107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ROW(Source!A75)</f>
        <v>75</v>
      </c>
      <c r="B58">
        <v>37602388</v>
      </c>
      <c r="C58">
        <v>37600105</v>
      </c>
      <c r="D58">
        <v>34188315</v>
      </c>
      <c r="E58">
        <v>1</v>
      </c>
      <c r="F58">
        <v>1</v>
      </c>
      <c r="G58">
        <v>15</v>
      </c>
      <c r="H58">
        <v>2</v>
      </c>
      <c r="I58" t="s">
        <v>268</v>
      </c>
      <c r="J58" t="s">
        <v>269</v>
      </c>
      <c r="K58" t="s">
        <v>270</v>
      </c>
      <c r="L58">
        <v>1368</v>
      </c>
      <c r="N58">
        <v>1011</v>
      </c>
      <c r="O58" t="s">
        <v>219</v>
      </c>
      <c r="P58" t="s">
        <v>219</v>
      </c>
      <c r="Q58">
        <v>1</v>
      </c>
      <c r="X58">
        <v>1.39</v>
      </c>
      <c r="Y58">
        <v>0</v>
      </c>
      <c r="Z58">
        <v>681</v>
      </c>
      <c r="AA58">
        <v>389.98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1.39</v>
      </c>
      <c r="AH58">
        <v>2</v>
      </c>
      <c r="AI58">
        <v>37600108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ROW(Source!A75)</f>
        <v>75</v>
      </c>
      <c r="B59">
        <v>37602389</v>
      </c>
      <c r="C59">
        <v>37600105</v>
      </c>
      <c r="D59">
        <v>34191424</v>
      </c>
      <c r="E59">
        <v>1</v>
      </c>
      <c r="F59">
        <v>1</v>
      </c>
      <c r="G59">
        <v>15</v>
      </c>
      <c r="H59">
        <v>3</v>
      </c>
      <c r="I59" t="s">
        <v>271</v>
      </c>
      <c r="J59" t="s">
        <v>272</v>
      </c>
      <c r="K59" t="s">
        <v>273</v>
      </c>
      <c r="L59">
        <v>1348</v>
      </c>
      <c r="N59">
        <v>1009</v>
      </c>
      <c r="O59" t="s">
        <v>29</v>
      </c>
      <c r="P59" t="s">
        <v>29</v>
      </c>
      <c r="Q59">
        <v>1000</v>
      </c>
      <c r="X59">
        <v>9.58</v>
      </c>
      <c r="Y59">
        <v>2314.4499999999998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54</v>
      </c>
      <c r="AG59">
        <v>11.975</v>
      </c>
      <c r="AH59">
        <v>2</v>
      </c>
      <c r="AI59">
        <v>37600109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ROW(Source!A110)</f>
        <v>110</v>
      </c>
      <c r="B60">
        <v>37602394</v>
      </c>
      <c r="C60">
        <v>37600114</v>
      </c>
      <c r="D60">
        <v>34176775</v>
      </c>
      <c r="E60">
        <v>15</v>
      </c>
      <c r="F60">
        <v>1</v>
      </c>
      <c r="G60">
        <v>15</v>
      </c>
      <c r="H60">
        <v>1</v>
      </c>
      <c r="I60" t="s">
        <v>213</v>
      </c>
      <c r="J60" t="s">
        <v>3</v>
      </c>
      <c r="K60" t="s">
        <v>214</v>
      </c>
      <c r="L60">
        <v>1191</v>
      </c>
      <c r="N60">
        <v>1013</v>
      </c>
      <c r="O60" t="s">
        <v>215</v>
      </c>
      <c r="P60" t="s">
        <v>215</v>
      </c>
      <c r="Q60">
        <v>1</v>
      </c>
      <c r="X60">
        <v>155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1</v>
      </c>
      <c r="AF60" t="s">
        <v>3</v>
      </c>
      <c r="AG60">
        <v>155</v>
      </c>
      <c r="AH60">
        <v>2</v>
      </c>
      <c r="AI60">
        <v>37600115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ROW(Source!A110)</f>
        <v>110</v>
      </c>
      <c r="B61">
        <v>37602395</v>
      </c>
      <c r="C61">
        <v>37600114</v>
      </c>
      <c r="D61">
        <v>34188152</v>
      </c>
      <c r="E61">
        <v>1</v>
      </c>
      <c r="F61">
        <v>1</v>
      </c>
      <c r="G61">
        <v>15</v>
      </c>
      <c r="H61">
        <v>2</v>
      </c>
      <c r="I61" t="s">
        <v>216</v>
      </c>
      <c r="J61" t="s">
        <v>217</v>
      </c>
      <c r="K61" t="s">
        <v>218</v>
      </c>
      <c r="L61">
        <v>1368</v>
      </c>
      <c r="N61">
        <v>1011</v>
      </c>
      <c r="O61" t="s">
        <v>219</v>
      </c>
      <c r="P61" t="s">
        <v>219</v>
      </c>
      <c r="Q61">
        <v>1</v>
      </c>
      <c r="X61">
        <v>37.5</v>
      </c>
      <c r="Y61">
        <v>0</v>
      </c>
      <c r="Z61">
        <v>566.36</v>
      </c>
      <c r="AA61">
        <v>309.02999999999997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37.5</v>
      </c>
      <c r="AH61">
        <v>2</v>
      </c>
      <c r="AI61">
        <v>37600116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ROW(Source!A110)</f>
        <v>110</v>
      </c>
      <c r="B62">
        <v>37602396</v>
      </c>
      <c r="C62">
        <v>37600114</v>
      </c>
      <c r="D62">
        <v>34187711</v>
      </c>
      <c r="E62">
        <v>1</v>
      </c>
      <c r="F62">
        <v>1</v>
      </c>
      <c r="G62">
        <v>15</v>
      </c>
      <c r="H62">
        <v>2</v>
      </c>
      <c r="I62" t="s">
        <v>220</v>
      </c>
      <c r="J62" t="s">
        <v>221</v>
      </c>
      <c r="K62" t="s">
        <v>222</v>
      </c>
      <c r="L62">
        <v>1368</v>
      </c>
      <c r="N62">
        <v>1011</v>
      </c>
      <c r="O62" t="s">
        <v>219</v>
      </c>
      <c r="P62" t="s">
        <v>219</v>
      </c>
      <c r="Q62">
        <v>1</v>
      </c>
      <c r="X62">
        <v>75</v>
      </c>
      <c r="Y62">
        <v>0</v>
      </c>
      <c r="Z62">
        <v>4.95</v>
      </c>
      <c r="AA62">
        <v>0.82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75</v>
      </c>
      <c r="AH62">
        <v>2</v>
      </c>
      <c r="AI62">
        <v>37600117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ROW(Source!A110)</f>
        <v>110</v>
      </c>
      <c r="B63">
        <v>37602397</v>
      </c>
      <c r="C63">
        <v>37600114</v>
      </c>
      <c r="D63">
        <v>34188265</v>
      </c>
      <c r="E63">
        <v>1</v>
      </c>
      <c r="F63">
        <v>1</v>
      </c>
      <c r="G63">
        <v>15</v>
      </c>
      <c r="H63">
        <v>2</v>
      </c>
      <c r="I63" t="s">
        <v>223</v>
      </c>
      <c r="J63" t="s">
        <v>224</v>
      </c>
      <c r="K63" t="s">
        <v>225</v>
      </c>
      <c r="L63">
        <v>1368</v>
      </c>
      <c r="N63">
        <v>1011</v>
      </c>
      <c r="O63" t="s">
        <v>219</v>
      </c>
      <c r="P63" t="s">
        <v>219</v>
      </c>
      <c r="Q63">
        <v>1</v>
      </c>
      <c r="X63">
        <v>1.55</v>
      </c>
      <c r="Y63">
        <v>0</v>
      </c>
      <c r="Z63">
        <v>1142.6300000000001</v>
      </c>
      <c r="AA63">
        <v>468.35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1.55</v>
      </c>
      <c r="AH63">
        <v>2</v>
      </c>
      <c r="AI63">
        <v>37600118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ROW(Source!A111)</f>
        <v>111</v>
      </c>
      <c r="B64">
        <v>37602398</v>
      </c>
      <c r="C64">
        <v>37600123</v>
      </c>
      <c r="D64">
        <v>34176775</v>
      </c>
      <c r="E64">
        <v>15</v>
      </c>
      <c r="F64">
        <v>1</v>
      </c>
      <c r="G64">
        <v>15</v>
      </c>
      <c r="H64">
        <v>1</v>
      </c>
      <c r="I64" t="s">
        <v>213</v>
      </c>
      <c r="J64" t="s">
        <v>3</v>
      </c>
      <c r="K64" t="s">
        <v>214</v>
      </c>
      <c r="L64">
        <v>1191</v>
      </c>
      <c r="N64">
        <v>1013</v>
      </c>
      <c r="O64" t="s">
        <v>215</v>
      </c>
      <c r="P64" t="s">
        <v>215</v>
      </c>
      <c r="Q64">
        <v>1</v>
      </c>
      <c r="X64">
        <v>11.7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1</v>
      </c>
      <c r="AF64" t="s">
        <v>3</v>
      </c>
      <c r="AG64">
        <v>11.7</v>
      </c>
      <c r="AH64">
        <v>2</v>
      </c>
      <c r="AI64">
        <v>37600124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ROW(Source!A111)</f>
        <v>111</v>
      </c>
      <c r="B65">
        <v>37602399</v>
      </c>
      <c r="C65">
        <v>37600123</v>
      </c>
      <c r="D65">
        <v>34188463</v>
      </c>
      <c r="E65">
        <v>1</v>
      </c>
      <c r="F65">
        <v>1</v>
      </c>
      <c r="G65">
        <v>15</v>
      </c>
      <c r="H65">
        <v>2</v>
      </c>
      <c r="I65" t="s">
        <v>226</v>
      </c>
      <c r="J65" t="s">
        <v>227</v>
      </c>
      <c r="K65" t="s">
        <v>228</v>
      </c>
      <c r="L65">
        <v>1368</v>
      </c>
      <c r="N65">
        <v>1011</v>
      </c>
      <c r="O65" t="s">
        <v>219</v>
      </c>
      <c r="P65" t="s">
        <v>219</v>
      </c>
      <c r="Q65">
        <v>1</v>
      </c>
      <c r="X65">
        <v>1.26</v>
      </c>
      <c r="Y65">
        <v>0</v>
      </c>
      <c r="Z65">
        <v>936.41</v>
      </c>
      <c r="AA65">
        <v>403.45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1.26</v>
      </c>
      <c r="AH65">
        <v>2</v>
      </c>
      <c r="AI65">
        <v>37600125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ROW(Source!A111)</f>
        <v>111</v>
      </c>
      <c r="B66">
        <v>37602400</v>
      </c>
      <c r="C66">
        <v>37600123</v>
      </c>
      <c r="D66">
        <v>34188265</v>
      </c>
      <c r="E66">
        <v>1</v>
      </c>
      <c r="F66">
        <v>1</v>
      </c>
      <c r="G66">
        <v>15</v>
      </c>
      <c r="H66">
        <v>2</v>
      </c>
      <c r="I66" t="s">
        <v>223</v>
      </c>
      <c r="J66" t="s">
        <v>224</v>
      </c>
      <c r="K66" t="s">
        <v>225</v>
      </c>
      <c r="L66">
        <v>1368</v>
      </c>
      <c r="N66">
        <v>1011</v>
      </c>
      <c r="O66" t="s">
        <v>219</v>
      </c>
      <c r="P66" t="s">
        <v>219</v>
      </c>
      <c r="Q66">
        <v>1</v>
      </c>
      <c r="X66">
        <v>1.7</v>
      </c>
      <c r="Y66">
        <v>0</v>
      </c>
      <c r="Z66">
        <v>1142.6300000000001</v>
      </c>
      <c r="AA66">
        <v>468.35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1.7</v>
      </c>
      <c r="AH66">
        <v>2</v>
      </c>
      <c r="AI66">
        <v>37600126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ROW(Source!A112)</f>
        <v>112</v>
      </c>
      <c r="B67">
        <v>37602402</v>
      </c>
      <c r="C67">
        <v>37600130</v>
      </c>
      <c r="D67">
        <v>34188506</v>
      </c>
      <c r="E67">
        <v>1</v>
      </c>
      <c r="F67">
        <v>1</v>
      </c>
      <c r="G67">
        <v>15</v>
      </c>
      <c r="H67">
        <v>2</v>
      </c>
      <c r="I67" t="s">
        <v>229</v>
      </c>
      <c r="J67" t="s">
        <v>230</v>
      </c>
      <c r="K67" t="s">
        <v>231</v>
      </c>
      <c r="L67">
        <v>1368</v>
      </c>
      <c r="N67">
        <v>1011</v>
      </c>
      <c r="O67" t="s">
        <v>219</v>
      </c>
      <c r="P67" t="s">
        <v>219</v>
      </c>
      <c r="Q67">
        <v>1</v>
      </c>
      <c r="X67">
        <v>5.3699999999999998E-2</v>
      </c>
      <c r="Y67">
        <v>0</v>
      </c>
      <c r="Z67">
        <v>1296.1600000000001</v>
      </c>
      <c r="AA67">
        <v>521.28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5.3699999999999998E-2</v>
      </c>
      <c r="AH67">
        <v>2</v>
      </c>
      <c r="AI67">
        <v>37600131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ROW(Source!A113)</f>
        <v>113</v>
      </c>
      <c r="B68">
        <v>37602403</v>
      </c>
      <c r="C68">
        <v>37600133</v>
      </c>
      <c r="D68">
        <v>34187831</v>
      </c>
      <c r="E68">
        <v>1</v>
      </c>
      <c r="F68">
        <v>1</v>
      </c>
      <c r="G68">
        <v>15</v>
      </c>
      <c r="H68">
        <v>2</v>
      </c>
      <c r="I68" t="s">
        <v>232</v>
      </c>
      <c r="J68" t="s">
        <v>233</v>
      </c>
      <c r="K68" t="s">
        <v>234</v>
      </c>
      <c r="L68">
        <v>1368</v>
      </c>
      <c r="N68">
        <v>1011</v>
      </c>
      <c r="O68" t="s">
        <v>219</v>
      </c>
      <c r="P68" t="s">
        <v>219</v>
      </c>
      <c r="Q68">
        <v>1</v>
      </c>
      <c r="X68">
        <v>0.02</v>
      </c>
      <c r="Y68">
        <v>0</v>
      </c>
      <c r="Z68">
        <v>782.71</v>
      </c>
      <c r="AA68">
        <v>410.24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0.02</v>
      </c>
      <c r="AH68">
        <v>2</v>
      </c>
      <c r="AI68">
        <v>37600134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ROW(Source!A113)</f>
        <v>113</v>
      </c>
      <c r="B69">
        <v>37602404</v>
      </c>
      <c r="C69">
        <v>37600133</v>
      </c>
      <c r="D69">
        <v>34187830</v>
      </c>
      <c r="E69">
        <v>1</v>
      </c>
      <c r="F69">
        <v>1</v>
      </c>
      <c r="G69">
        <v>15</v>
      </c>
      <c r="H69">
        <v>2</v>
      </c>
      <c r="I69" t="s">
        <v>235</v>
      </c>
      <c r="J69" t="s">
        <v>236</v>
      </c>
      <c r="K69" t="s">
        <v>237</v>
      </c>
      <c r="L69">
        <v>1368</v>
      </c>
      <c r="N69">
        <v>1011</v>
      </c>
      <c r="O69" t="s">
        <v>219</v>
      </c>
      <c r="P69" t="s">
        <v>219</v>
      </c>
      <c r="Q69">
        <v>1</v>
      </c>
      <c r="X69">
        <v>1.7999999999999999E-2</v>
      </c>
      <c r="Y69">
        <v>0</v>
      </c>
      <c r="Z69">
        <v>939.75</v>
      </c>
      <c r="AA69">
        <v>473.4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1.7999999999999999E-2</v>
      </c>
      <c r="AH69">
        <v>2</v>
      </c>
      <c r="AI69">
        <v>37600135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ROW(Source!A114)</f>
        <v>114</v>
      </c>
      <c r="B70">
        <v>37602405</v>
      </c>
      <c r="C70">
        <v>37600138</v>
      </c>
      <c r="D70">
        <v>34187831</v>
      </c>
      <c r="E70">
        <v>1</v>
      </c>
      <c r="F70">
        <v>1</v>
      </c>
      <c r="G70">
        <v>15</v>
      </c>
      <c r="H70">
        <v>2</v>
      </c>
      <c r="I70" t="s">
        <v>232</v>
      </c>
      <c r="J70" t="s">
        <v>233</v>
      </c>
      <c r="K70" t="s">
        <v>234</v>
      </c>
      <c r="L70">
        <v>1368</v>
      </c>
      <c r="N70">
        <v>1011</v>
      </c>
      <c r="O70" t="s">
        <v>219</v>
      </c>
      <c r="P70" t="s">
        <v>219</v>
      </c>
      <c r="Q70">
        <v>1</v>
      </c>
      <c r="X70">
        <v>0.01</v>
      </c>
      <c r="Y70">
        <v>0</v>
      </c>
      <c r="Z70">
        <v>782.71</v>
      </c>
      <c r="AA70">
        <v>410.24</v>
      </c>
      <c r="AB70">
        <v>0</v>
      </c>
      <c r="AC70">
        <v>0</v>
      </c>
      <c r="AD70">
        <v>1</v>
      </c>
      <c r="AE70">
        <v>0</v>
      </c>
      <c r="AF70" t="s">
        <v>40</v>
      </c>
      <c r="AG70">
        <v>0.25</v>
      </c>
      <c r="AH70">
        <v>2</v>
      </c>
      <c r="AI70">
        <v>37600139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ROW(Source!A114)</f>
        <v>114</v>
      </c>
      <c r="B71">
        <v>37602406</v>
      </c>
      <c r="C71">
        <v>37600138</v>
      </c>
      <c r="D71">
        <v>34187830</v>
      </c>
      <c r="E71">
        <v>1</v>
      </c>
      <c r="F71">
        <v>1</v>
      </c>
      <c r="G71">
        <v>15</v>
      </c>
      <c r="H71">
        <v>2</v>
      </c>
      <c r="I71" t="s">
        <v>235</v>
      </c>
      <c r="J71" t="s">
        <v>236</v>
      </c>
      <c r="K71" t="s">
        <v>237</v>
      </c>
      <c r="L71">
        <v>1368</v>
      </c>
      <c r="N71">
        <v>1011</v>
      </c>
      <c r="O71" t="s">
        <v>219</v>
      </c>
      <c r="P71" t="s">
        <v>219</v>
      </c>
      <c r="Q71">
        <v>1</v>
      </c>
      <c r="X71">
        <v>8.0000000000000002E-3</v>
      </c>
      <c r="Y71">
        <v>0</v>
      </c>
      <c r="Z71">
        <v>939.75</v>
      </c>
      <c r="AA71">
        <v>473.4</v>
      </c>
      <c r="AB71">
        <v>0</v>
      </c>
      <c r="AC71">
        <v>0</v>
      </c>
      <c r="AD71">
        <v>1</v>
      </c>
      <c r="AE71">
        <v>0</v>
      </c>
      <c r="AF71" t="s">
        <v>40</v>
      </c>
      <c r="AG71">
        <v>0.2</v>
      </c>
      <c r="AH71">
        <v>2</v>
      </c>
      <c r="AI71">
        <v>37600140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ROW(Source!A115)</f>
        <v>115</v>
      </c>
      <c r="B72">
        <v>37602424</v>
      </c>
      <c r="C72">
        <v>37600143</v>
      </c>
      <c r="D72">
        <v>34176775</v>
      </c>
      <c r="E72">
        <v>15</v>
      </c>
      <c r="F72">
        <v>1</v>
      </c>
      <c r="G72">
        <v>15</v>
      </c>
      <c r="H72">
        <v>1</v>
      </c>
      <c r="I72" t="s">
        <v>213</v>
      </c>
      <c r="J72" t="s">
        <v>3</v>
      </c>
      <c r="K72" t="s">
        <v>214</v>
      </c>
      <c r="L72">
        <v>1191</v>
      </c>
      <c r="N72">
        <v>1013</v>
      </c>
      <c r="O72" t="s">
        <v>215</v>
      </c>
      <c r="P72" t="s">
        <v>215</v>
      </c>
      <c r="Q72">
        <v>1</v>
      </c>
      <c r="X72">
        <v>16.559999999999999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1</v>
      </c>
      <c r="AF72" t="s">
        <v>3</v>
      </c>
      <c r="AG72">
        <v>16.559999999999999</v>
      </c>
      <c r="AH72">
        <v>2</v>
      </c>
      <c r="AI72">
        <v>37600144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ROW(Source!A115)</f>
        <v>115</v>
      </c>
      <c r="B73">
        <v>37602425</v>
      </c>
      <c r="C73">
        <v>37600143</v>
      </c>
      <c r="D73">
        <v>34188463</v>
      </c>
      <c r="E73">
        <v>1</v>
      </c>
      <c r="F73">
        <v>1</v>
      </c>
      <c r="G73">
        <v>15</v>
      </c>
      <c r="H73">
        <v>2</v>
      </c>
      <c r="I73" t="s">
        <v>226</v>
      </c>
      <c r="J73" t="s">
        <v>227</v>
      </c>
      <c r="K73" t="s">
        <v>228</v>
      </c>
      <c r="L73">
        <v>1368</v>
      </c>
      <c r="N73">
        <v>1011</v>
      </c>
      <c r="O73" t="s">
        <v>219</v>
      </c>
      <c r="P73" t="s">
        <v>219</v>
      </c>
      <c r="Q73">
        <v>1</v>
      </c>
      <c r="X73">
        <v>2.08</v>
      </c>
      <c r="Y73">
        <v>0</v>
      </c>
      <c r="Z73">
        <v>936.41</v>
      </c>
      <c r="AA73">
        <v>403.45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2.08</v>
      </c>
      <c r="AH73">
        <v>2</v>
      </c>
      <c r="AI73">
        <v>37600145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ROW(Source!A115)</f>
        <v>115</v>
      </c>
      <c r="B74">
        <v>37602426</v>
      </c>
      <c r="C74">
        <v>37600143</v>
      </c>
      <c r="D74">
        <v>34188306</v>
      </c>
      <c r="E74">
        <v>1</v>
      </c>
      <c r="F74">
        <v>1</v>
      </c>
      <c r="G74">
        <v>15</v>
      </c>
      <c r="H74">
        <v>2</v>
      </c>
      <c r="I74" t="s">
        <v>238</v>
      </c>
      <c r="J74" t="s">
        <v>239</v>
      </c>
      <c r="K74" t="s">
        <v>240</v>
      </c>
      <c r="L74">
        <v>1368</v>
      </c>
      <c r="N74">
        <v>1011</v>
      </c>
      <c r="O74" t="s">
        <v>219</v>
      </c>
      <c r="P74" t="s">
        <v>219</v>
      </c>
      <c r="Q74">
        <v>1</v>
      </c>
      <c r="X74">
        <v>2.08</v>
      </c>
      <c r="Y74">
        <v>0</v>
      </c>
      <c r="Z74">
        <v>354.92</v>
      </c>
      <c r="AA74">
        <v>157.22999999999999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2.08</v>
      </c>
      <c r="AH74">
        <v>2</v>
      </c>
      <c r="AI74">
        <v>37600146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ROW(Source!A115)</f>
        <v>115</v>
      </c>
      <c r="B75">
        <v>37602427</v>
      </c>
      <c r="C75">
        <v>37600143</v>
      </c>
      <c r="D75">
        <v>34188303</v>
      </c>
      <c r="E75">
        <v>1</v>
      </c>
      <c r="F75">
        <v>1</v>
      </c>
      <c r="G75">
        <v>15</v>
      </c>
      <c r="H75">
        <v>2</v>
      </c>
      <c r="I75" t="s">
        <v>241</v>
      </c>
      <c r="J75" t="s">
        <v>242</v>
      </c>
      <c r="K75" t="s">
        <v>243</v>
      </c>
      <c r="L75">
        <v>1368</v>
      </c>
      <c r="N75">
        <v>1011</v>
      </c>
      <c r="O75" t="s">
        <v>219</v>
      </c>
      <c r="P75" t="s">
        <v>219</v>
      </c>
      <c r="Q75">
        <v>1</v>
      </c>
      <c r="X75">
        <v>0.81</v>
      </c>
      <c r="Y75">
        <v>0</v>
      </c>
      <c r="Z75">
        <v>1527.34</v>
      </c>
      <c r="AA75">
        <v>334.88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0.81</v>
      </c>
      <c r="AH75">
        <v>2</v>
      </c>
      <c r="AI75">
        <v>37600147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ROW(Source!A115)</f>
        <v>115</v>
      </c>
      <c r="B76">
        <v>37602428</v>
      </c>
      <c r="C76">
        <v>37600143</v>
      </c>
      <c r="D76">
        <v>34188265</v>
      </c>
      <c r="E76">
        <v>1</v>
      </c>
      <c r="F76">
        <v>1</v>
      </c>
      <c r="G76">
        <v>15</v>
      </c>
      <c r="H76">
        <v>2</v>
      </c>
      <c r="I76" t="s">
        <v>223</v>
      </c>
      <c r="J76" t="s">
        <v>224</v>
      </c>
      <c r="K76" t="s">
        <v>225</v>
      </c>
      <c r="L76">
        <v>1368</v>
      </c>
      <c r="N76">
        <v>1011</v>
      </c>
      <c r="O76" t="s">
        <v>219</v>
      </c>
      <c r="P76" t="s">
        <v>219</v>
      </c>
      <c r="Q76">
        <v>1</v>
      </c>
      <c r="X76">
        <v>1.94</v>
      </c>
      <c r="Y76">
        <v>0</v>
      </c>
      <c r="Z76">
        <v>1142.6300000000001</v>
      </c>
      <c r="AA76">
        <v>468.35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1.94</v>
      </c>
      <c r="AH76">
        <v>2</v>
      </c>
      <c r="AI76">
        <v>37600148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ROW(Source!A115)</f>
        <v>115</v>
      </c>
      <c r="B77">
        <v>37602429</v>
      </c>
      <c r="C77">
        <v>37600143</v>
      </c>
      <c r="D77">
        <v>34188313</v>
      </c>
      <c r="E77">
        <v>1</v>
      </c>
      <c r="F77">
        <v>1</v>
      </c>
      <c r="G77">
        <v>15</v>
      </c>
      <c r="H77">
        <v>2</v>
      </c>
      <c r="I77" t="s">
        <v>244</v>
      </c>
      <c r="J77" t="s">
        <v>245</v>
      </c>
      <c r="K77" t="s">
        <v>246</v>
      </c>
      <c r="L77">
        <v>1368</v>
      </c>
      <c r="N77">
        <v>1011</v>
      </c>
      <c r="O77" t="s">
        <v>219</v>
      </c>
      <c r="P77" t="s">
        <v>219</v>
      </c>
      <c r="Q77">
        <v>1</v>
      </c>
      <c r="X77">
        <v>0.65</v>
      </c>
      <c r="Y77">
        <v>0</v>
      </c>
      <c r="Z77">
        <v>1590.37</v>
      </c>
      <c r="AA77">
        <v>497.81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0.65</v>
      </c>
      <c r="AH77">
        <v>2</v>
      </c>
      <c r="AI77">
        <v>37600149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ROW(Source!A115)</f>
        <v>115</v>
      </c>
      <c r="B78">
        <v>37602430</v>
      </c>
      <c r="C78">
        <v>37600143</v>
      </c>
      <c r="D78">
        <v>34189650</v>
      </c>
      <c r="E78">
        <v>1</v>
      </c>
      <c r="F78">
        <v>1</v>
      </c>
      <c r="G78">
        <v>15</v>
      </c>
      <c r="H78">
        <v>3</v>
      </c>
      <c r="I78" t="s">
        <v>247</v>
      </c>
      <c r="J78" t="s">
        <v>248</v>
      </c>
      <c r="K78" t="s">
        <v>249</v>
      </c>
      <c r="L78">
        <v>1339</v>
      </c>
      <c r="N78">
        <v>1007</v>
      </c>
      <c r="O78" t="s">
        <v>115</v>
      </c>
      <c r="P78" t="s">
        <v>115</v>
      </c>
      <c r="Q78">
        <v>1</v>
      </c>
      <c r="X78">
        <v>110</v>
      </c>
      <c r="Y78">
        <v>559.23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110</v>
      </c>
      <c r="AH78">
        <v>2</v>
      </c>
      <c r="AI78">
        <v>37600150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ROW(Source!A115)</f>
        <v>115</v>
      </c>
      <c r="B79">
        <v>37602431</v>
      </c>
      <c r="C79">
        <v>37600143</v>
      </c>
      <c r="D79">
        <v>34190363</v>
      </c>
      <c r="E79">
        <v>1</v>
      </c>
      <c r="F79">
        <v>1</v>
      </c>
      <c r="G79">
        <v>15</v>
      </c>
      <c r="H79">
        <v>3</v>
      </c>
      <c r="I79" t="s">
        <v>250</v>
      </c>
      <c r="J79" t="s">
        <v>251</v>
      </c>
      <c r="K79" t="s">
        <v>252</v>
      </c>
      <c r="L79">
        <v>1339</v>
      </c>
      <c r="N79">
        <v>1007</v>
      </c>
      <c r="O79" t="s">
        <v>115</v>
      </c>
      <c r="P79" t="s">
        <v>115</v>
      </c>
      <c r="Q79">
        <v>1</v>
      </c>
      <c r="X79">
        <v>5</v>
      </c>
      <c r="Y79">
        <v>28.77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5</v>
      </c>
      <c r="AH79">
        <v>2</v>
      </c>
      <c r="AI79">
        <v>37600151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ROW(Source!A116)</f>
        <v>116</v>
      </c>
      <c r="B80">
        <v>37602432</v>
      </c>
      <c r="C80">
        <v>37600160</v>
      </c>
      <c r="D80">
        <v>34176775</v>
      </c>
      <c r="E80">
        <v>15</v>
      </c>
      <c r="F80">
        <v>1</v>
      </c>
      <c r="G80">
        <v>15</v>
      </c>
      <c r="H80">
        <v>1</v>
      </c>
      <c r="I80" t="s">
        <v>213</v>
      </c>
      <c r="J80" t="s">
        <v>3</v>
      </c>
      <c r="K80" t="s">
        <v>214</v>
      </c>
      <c r="L80">
        <v>1191</v>
      </c>
      <c r="N80">
        <v>1013</v>
      </c>
      <c r="O80" t="s">
        <v>215</v>
      </c>
      <c r="P80" t="s">
        <v>215</v>
      </c>
      <c r="Q80">
        <v>1</v>
      </c>
      <c r="X80">
        <v>24.84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1</v>
      </c>
      <c r="AF80" t="s">
        <v>3</v>
      </c>
      <c r="AG80">
        <v>24.84</v>
      </c>
      <c r="AH80">
        <v>2</v>
      </c>
      <c r="AI80">
        <v>37600161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ROW(Source!A116)</f>
        <v>116</v>
      </c>
      <c r="B81">
        <v>37602433</v>
      </c>
      <c r="C81">
        <v>37600160</v>
      </c>
      <c r="D81">
        <v>34188482</v>
      </c>
      <c r="E81">
        <v>1</v>
      </c>
      <c r="F81">
        <v>1</v>
      </c>
      <c r="G81">
        <v>15</v>
      </c>
      <c r="H81">
        <v>2</v>
      </c>
      <c r="I81" t="s">
        <v>253</v>
      </c>
      <c r="J81" t="s">
        <v>254</v>
      </c>
      <c r="K81" t="s">
        <v>255</v>
      </c>
      <c r="L81">
        <v>1368</v>
      </c>
      <c r="N81">
        <v>1011</v>
      </c>
      <c r="O81" t="s">
        <v>219</v>
      </c>
      <c r="P81" t="s">
        <v>219</v>
      </c>
      <c r="Q81">
        <v>1</v>
      </c>
      <c r="X81">
        <v>2.94</v>
      </c>
      <c r="Y81">
        <v>0</v>
      </c>
      <c r="Z81">
        <v>711.82</v>
      </c>
      <c r="AA81">
        <v>363.48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2.94</v>
      </c>
      <c r="AH81">
        <v>2</v>
      </c>
      <c r="AI81">
        <v>37600162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ROW(Source!A116)</f>
        <v>116</v>
      </c>
      <c r="B82">
        <v>37602434</v>
      </c>
      <c r="C82">
        <v>37600160</v>
      </c>
      <c r="D82">
        <v>34188303</v>
      </c>
      <c r="E82">
        <v>1</v>
      </c>
      <c r="F82">
        <v>1</v>
      </c>
      <c r="G82">
        <v>15</v>
      </c>
      <c r="H82">
        <v>2</v>
      </c>
      <c r="I82" t="s">
        <v>241</v>
      </c>
      <c r="J82" t="s">
        <v>242</v>
      </c>
      <c r="K82" t="s">
        <v>243</v>
      </c>
      <c r="L82">
        <v>1368</v>
      </c>
      <c r="N82">
        <v>1011</v>
      </c>
      <c r="O82" t="s">
        <v>219</v>
      </c>
      <c r="P82" t="s">
        <v>219</v>
      </c>
      <c r="Q82">
        <v>1</v>
      </c>
      <c r="X82">
        <v>1.1399999999999999</v>
      </c>
      <c r="Y82">
        <v>0</v>
      </c>
      <c r="Z82">
        <v>1527.34</v>
      </c>
      <c r="AA82">
        <v>334.88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1.1399999999999999</v>
      </c>
      <c r="AH82">
        <v>2</v>
      </c>
      <c r="AI82">
        <v>37600163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ROW(Source!A116)</f>
        <v>116</v>
      </c>
      <c r="B83">
        <v>37602435</v>
      </c>
      <c r="C83">
        <v>37600160</v>
      </c>
      <c r="D83">
        <v>34188322</v>
      </c>
      <c r="E83">
        <v>1</v>
      </c>
      <c r="F83">
        <v>1</v>
      </c>
      <c r="G83">
        <v>15</v>
      </c>
      <c r="H83">
        <v>2</v>
      </c>
      <c r="I83" t="s">
        <v>256</v>
      </c>
      <c r="J83" t="s">
        <v>257</v>
      </c>
      <c r="K83" t="s">
        <v>258</v>
      </c>
      <c r="L83">
        <v>1368</v>
      </c>
      <c r="N83">
        <v>1011</v>
      </c>
      <c r="O83" t="s">
        <v>219</v>
      </c>
      <c r="P83" t="s">
        <v>219</v>
      </c>
      <c r="Q83">
        <v>1</v>
      </c>
      <c r="X83">
        <v>8.9600000000000009</v>
      </c>
      <c r="Y83">
        <v>0</v>
      </c>
      <c r="Z83">
        <v>984.76</v>
      </c>
      <c r="AA83">
        <v>387.07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8.9600000000000009</v>
      </c>
      <c r="AH83">
        <v>2</v>
      </c>
      <c r="AI83">
        <v>37600164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ROW(Source!A116)</f>
        <v>116</v>
      </c>
      <c r="B84">
        <v>37602436</v>
      </c>
      <c r="C84">
        <v>37600160</v>
      </c>
      <c r="D84">
        <v>34188321</v>
      </c>
      <c r="E84">
        <v>1</v>
      </c>
      <c r="F84">
        <v>1</v>
      </c>
      <c r="G84">
        <v>15</v>
      </c>
      <c r="H84">
        <v>2</v>
      </c>
      <c r="I84" t="s">
        <v>259</v>
      </c>
      <c r="J84" t="s">
        <v>260</v>
      </c>
      <c r="K84" t="s">
        <v>261</v>
      </c>
      <c r="L84">
        <v>1368</v>
      </c>
      <c r="N84">
        <v>1011</v>
      </c>
      <c r="O84" t="s">
        <v>219</v>
      </c>
      <c r="P84" t="s">
        <v>219</v>
      </c>
      <c r="Q84">
        <v>1</v>
      </c>
      <c r="X84">
        <v>18.25</v>
      </c>
      <c r="Y84">
        <v>0</v>
      </c>
      <c r="Z84">
        <v>1482.31</v>
      </c>
      <c r="AA84">
        <v>526.20000000000005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18.25</v>
      </c>
      <c r="AH84">
        <v>2</v>
      </c>
      <c r="AI84">
        <v>37600165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ROW(Source!A116)</f>
        <v>116</v>
      </c>
      <c r="B85">
        <v>37602437</v>
      </c>
      <c r="C85">
        <v>37600160</v>
      </c>
      <c r="D85">
        <v>34188265</v>
      </c>
      <c r="E85">
        <v>1</v>
      </c>
      <c r="F85">
        <v>1</v>
      </c>
      <c r="G85">
        <v>15</v>
      </c>
      <c r="H85">
        <v>2</v>
      </c>
      <c r="I85" t="s">
        <v>223</v>
      </c>
      <c r="J85" t="s">
        <v>224</v>
      </c>
      <c r="K85" t="s">
        <v>225</v>
      </c>
      <c r="L85">
        <v>1368</v>
      </c>
      <c r="N85">
        <v>1011</v>
      </c>
      <c r="O85" t="s">
        <v>219</v>
      </c>
      <c r="P85" t="s">
        <v>219</v>
      </c>
      <c r="Q85">
        <v>1</v>
      </c>
      <c r="X85">
        <v>2.2400000000000002</v>
      </c>
      <c r="Y85">
        <v>0</v>
      </c>
      <c r="Z85">
        <v>1142.6300000000001</v>
      </c>
      <c r="AA85">
        <v>468.35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2.2400000000000002</v>
      </c>
      <c r="AH85">
        <v>2</v>
      </c>
      <c r="AI85">
        <v>37600166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ROW(Source!A116)</f>
        <v>116</v>
      </c>
      <c r="B86">
        <v>37602438</v>
      </c>
      <c r="C86">
        <v>37600160</v>
      </c>
      <c r="D86">
        <v>34188313</v>
      </c>
      <c r="E86">
        <v>1</v>
      </c>
      <c r="F86">
        <v>1</v>
      </c>
      <c r="G86">
        <v>15</v>
      </c>
      <c r="H86">
        <v>2</v>
      </c>
      <c r="I86" t="s">
        <v>244</v>
      </c>
      <c r="J86" t="s">
        <v>245</v>
      </c>
      <c r="K86" t="s">
        <v>246</v>
      </c>
      <c r="L86">
        <v>1368</v>
      </c>
      <c r="N86">
        <v>1011</v>
      </c>
      <c r="O86" t="s">
        <v>219</v>
      </c>
      <c r="P86" t="s">
        <v>219</v>
      </c>
      <c r="Q86">
        <v>1</v>
      </c>
      <c r="X86">
        <v>0.65</v>
      </c>
      <c r="Y86">
        <v>0</v>
      </c>
      <c r="Z86">
        <v>1590.37</v>
      </c>
      <c r="AA86">
        <v>497.81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0.65</v>
      </c>
      <c r="AH86">
        <v>2</v>
      </c>
      <c r="AI86">
        <v>37600167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ROW(Source!A116)</f>
        <v>116</v>
      </c>
      <c r="B87">
        <v>37602439</v>
      </c>
      <c r="C87">
        <v>37600160</v>
      </c>
      <c r="D87">
        <v>34189676</v>
      </c>
      <c r="E87">
        <v>1</v>
      </c>
      <c r="F87">
        <v>1</v>
      </c>
      <c r="G87">
        <v>15</v>
      </c>
      <c r="H87">
        <v>3</v>
      </c>
      <c r="I87" t="s">
        <v>262</v>
      </c>
      <c r="J87" t="s">
        <v>263</v>
      </c>
      <c r="K87" t="s">
        <v>264</v>
      </c>
      <c r="L87">
        <v>1339</v>
      </c>
      <c r="N87">
        <v>1007</v>
      </c>
      <c r="O87" t="s">
        <v>115</v>
      </c>
      <c r="P87" t="s">
        <v>115</v>
      </c>
      <c r="Q87">
        <v>1</v>
      </c>
      <c r="X87">
        <v>126</v>
      </c>
      <c r="Y87">
        <v>1910.98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126</v>
      </c>
      <c r="AH87">
        <v>2</v>
      </c>
      <c r="AI87">
        <v>37600168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ROW(Source!A116)</f>
        <v>116</v>
      </c>
      <c r="B88">
        <v>37602440</v>
      </c>
      <c r="C88">
        <v>37600160</v>
      </c>
      <c r="D88">
        <v>34190363</v>
      </c>
      <c r="E88">
        <v>1</v>
      </c>
      <c r="F88">
        <v>1</v>
      </c>
      <c r="G88">
        <v>15</v>
      </c>
      <c r="H88">
        <v>3</v>
      </c>
      <c r="I88" t="s">
        <v>250</v>
      </c>
      <c r="J88" t="s">
        <v>251</v>
      </c>
      <c r="K88" t="s">
        <v>252</v>
      </c>
      <c r="L88">
        <v>1339</v>
      </c>
      <c r="N88">
        <v>1007</v>
      </c>
      <c r="O88" t="s">
        <v>115</v>
      </c>
      <c r="P88" t="s">
        <v>115</v>
      </c>
      <c r="Q88">
        <v>1</v>
      </c>
      <c r="X88">
        <v>7</v>
      </c>
      <c r="Y88">
        <v>28.77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7</v>
      </c>
      <c r="AH88">
        <v>2</v>
      </c>
      <c r="AI88">
        <v>37600169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ROW(Source!A117)</f>
        <v>117</v>
      </c>
      <c r="B89">
        <v>37602441</v>
      </c>
      <c r="C89">
        <v>37600179</v>
      </c>
      <c r="D89">
        <v>34176775</v>
      </c>
      <c r="E89">
        <v>15</v>
      </c>
      <c r="F89">
        <v>1</v>
      </c>
      <c r="G89">
        <v>15</v>
      </c>
      <c r="H89">
        <v>1</v>
      </c>
      <c r="I89" t="s">
        <v>213</v>
      </c>
      <c r="J89" t="s">
        <v>3</v>
      </c>
      <c r="K89" t="s">
        <v>214</v>
      </c>
      <c r="L89">
        <v>1191</v>
      </c>
      <c r="N89">
        <v>1013</v>
      </c>
      <c r="O89" t="s">
        <v>215</v>
      </c>
      <c r="P89" t="s">
        <v>215</v>
      </c>
      <c r="Q89">
        <v>1</v>
      </c>
      <c r="X89">
        <v>13.57</v>
      </c>
      <c r="Y89">
        <v>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1</v>
      </c>
      <c r="AF89" t="s">
        <v>3</v>
      </c>
      <c r="AG89">
        <v>13.57</v>
      </c>
      <c r="AH89">
        <v>2</v>
      </c>
      <c r="AI89">
        <v>37600180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ROW(Source!A117)</f>
        <v>117</v>
      </c>
      <c r="B90">
        <v>37602442</v>
      </c>
      <c r="C90">
        <v>37600179</v>
      </c>
      <c r="D90">
        <v>34188316</v>
      </c>
      <c r="E90">
        <v>1</v>
      </c>
      <c r="F90">
        <v>1</v>
      </c>
      <c r="G90">
        <v>15</v>
      </c>
      <c r="H90">
        <v>2</v>
      </c>
      <c r="I90" t="s">
        <v>265</v>
      </c>
      <c r="J90" t="s">
        <v>266</v>
      </c>
      <c r="K90" t="s">
        <v>267</v>
      </c>
      <c r="L90">
        <v>1368</v>
      </c>
      <c r="N90">
        <v>1011</v>
      </c>
      <c r="O90" t="s">
        <v>219</v>
      </c>
      <c r="P90" t="s">
        <v>219</v>
      </c>
      <c r="Q90">
        <v>1</v>
      </c>
      <c r="X90">
        <v>0.46</v>
      </c>
      <c r="Y90">
        <v>0</v>
      </c>
      <c r="Z90">
        <v>628.07000000000005</v>
      </c>
      <c r="AA90">
        <v>377.51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0.46</v>
      </c>
      <c r="AH90">
        <v>2</v>
      </c>
      <c r="AI90">
        <v>37600181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ROW(Source!A117)</f>
        <v>117</v>
      </c>
      <c r="B91">
        <v>37602443</v>
      </c>
      <c r="C91">
        <v>37600179</v>
      </c>
      <c r="D91">
        <v>34188315</v>
      </c>
      <c r="E91">
        <v>1</v>
      </c>
      <c r="F91">
        <v>1</v>
      </c>
      <c r="G91">
        <v>15</v>
      </c>
      <c r="H91">
        <v>2</v>
      </c>
      <c r="I91" t="s">
        <v>268</v>
      </c>
      <c r="J91" t="s">
        <v>269</v>
      </c>
      <c r="K91" t="s">
        <v>270</v>
      </c>
      <c r="L91">
        <v>1368</v>
      </c>
      <c r="N91">
        <v>1011</v>
      </c>
      <c r="O91" t="s">
        <v>219</v>
      </c>
      <c r="P91" t="s">
        <v>219</v>
      </c>
      <c r="Q91">
        <v>1</v>
      </c>
      <c r="X91">
        <v>1.39</v>
      </c>
      <c r="Y91">
        <v>0</v>
      </c>
      <c r="Z91">
        <v>681</v>
      </c>
      <c r="AA91">
        <v>389.98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1.39</v>
      </c>
      <c r="AH91">
        <v>2</v>
      </c>
      <c r="AI91">
        <v>37600182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ROW(Source!A117)</f>
        <v>117</v>
      </c>
      <c r="B92">
        <v>37602444</v>
      </c>
      <c r="C92">
        <v>37600179</v>
      </c>
      <c r="D92">
        <v>34191424</v>
      </c>
      <c r="E92">
        <v>1</v>
      </c>
      <c r="F92">
        <v>1</v>
      </c>
      <c r="G92">
        <v>15</v>
      </c>
      <c r="H92">
        <v>3</v>
      </c>
      <c r="I92" t="s">
        <v>271</v>
      </c>
      <c r="J92" t="s">
        <v>272</v>
      </c>
      <c r="K92" t="s">
        <v>273</v>
      </c>
      <c r="L92">
        <v>1348</v>
      </c>
      <c r="N92">
        <v>1009</v>
      </c>
      <c r="O92" t="s">
        <v>29</v>
      </c>
      <c r="P92" t="s">
        <v>29</v>
      </c>
      <c r="Q92">
        <v>1000</v>
      </c>
      <c r="X92">
        <v>9.58</v>
      </c>
      <c r="Y92">
        <v>2314.4499999999998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54</v>
      </c>
      <c r="AG92">
        <v>11.975</v>
      </c>
      <c r="AH92">
        <v>2</v>
      </c>
      <c r="AI92">
        <v>37600183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ROW(Source!A156)</f>
        <v>156</v>
      </c>
      <c r="B93">
        <v>37602445</v>
      </c>
      <c r="C93">
        <v>37600188</v>
      </c>
      <c r="D93">
        <v>34176775</v>
      </c>
      <c r="E93">
        <v>15</v>
      </c>
      <c r="F93">
        <v>1</v>
      </c>
      <c r="G93">
        <v>15</v>
      </c>
      <c r="H93">
        <v>1</v>
      </c>
      <c r="I93" t="s">
        <v>213</v>
      </c>
      <c r="J93" t="s">
        <v>3</v>
      </c>
      <c r="K93" t="s">
        <v>214</v>
      </c>
      <c r="L93">
        <v>1191</v>
      </c>
      <c r="N93">
        <v>1013</v>
      </c>
      <c r="O93" t="s">
        <v>215</v>
      </c>
      <c r="P93" t="s">
        <v>215</v>
      </c>
      <c r="Q93">
        <v>1</v>
      </c>
      <c r="X93">
        <v>0.66</v>
      </c>
      <c r="Y93">
        <v>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1</v>
      </c>
      <c r="AF93" t="s">
        <v>3</v>
      </c>
      <c r="AG93">
        <v>0.66</v>
      </c>
      <c r="AH93">
        <v>2</v>
      </c>
      <c r="AI93">
        <v>37600189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ROW(Source!A156)</f>
        <v>156</v>
      </c>
      <c r="B94">
        <v>37602446</v>
      </c>
      <c r="C94">
        <v>37600188</v>
      </c>
      <c r="D94">
        <v>34188153</v>
      </c>
      <c r="E94">
        <v>1</v>
      </c>
      <c r="F94">
        <v>1</v>
      </c>
      <c r="G94">
        <v>15</v>
      </c>
      <c r="H94">
        <v>2</v>
      </c>
      <c r="I94" t="s">
        <v>280</v>
      </c>
      <c r="J94" t="s">
        <v>281</v>
      </c>
      <c r="K94" t="s">
        <v>282</v>
      </c>
      <c r="L94">
        <v>1368</v>
      </c>
      <c r="N94">
        <v>1011</v>
      </c>
      <c r="O94" t="s">
        <v>219</v>
      </c>
      <c r="P94" t="s">
        <v>219</v>
      </c>
      <c r="Q94">
        <v>1</v>
      </c>
      <c r="X94">
        <v>0.13200000000000001</v>
      </c>
      <c r="Y94">
        <v>0</v>
      </c>
      <c r="Z94">
        <v>359.53</v>
      </c>
      <c r="AA94">
        <v>262.75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0.13200000000000001</v>
      </c>
      <c r="AH94">
        <v>2</v>
      </c>
      <c r="AI94">
        <v>37600190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ROW(Source!A156)</f>
        <v>156</v>
      </c>
      <c r="B95">
        <v>37602447</v>
      </c>
      <c r="C95">
        <v>37600188</v>
      </c>
      <c r="D95">
        <v>34187832</v>
      </c>
      <c r="E95">
        <v>1</v>
      </c>
      <c r="F95">
        <v>1</v>
      </c>
      <c r="G95">
        <v>15</v>
      </c>
      <c r="H95">
        <v>2</v>
      </c>
      <c r="I95" t="s">
        <v>283</v>
      </c>
      <c r="J95" t="s">
        <v>284</v>
      </c>
      <c r="K95" t="s">
        <v>285</v>
      </c>
      <c r="L95">
        <v>1368</v>
      </c>
      <c r="N95">
        <v>1011</v>
      </c>
      <c r="O95" t="s">
        <v>219</v>
      </c>
      <c r="P95" t="s">
        <v>219</v>
      </c>
      <c r="Q95">
        <v>1</v>
      </c>
      <c r="X95">
        <v>0.05</v>
      </c>
      <c r="Y95">
        <v>0</v>
      </c>
      <c r="Z95">
        <v>871.98</v>
      </c>
      <c r="AA95">
        <v>284.29000000000002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0.05</v>
      </c>
      <c r="AH95">
        <v>2</v>
      </c>
      <c r="AI95">
        <v>37600191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ROW(Source!A156)</f>
        <v>156</v>
      </c>
      <c r="B96">
        <v>37602448</v>
      </c>
      <c r="C96">
        <v>37600188</v>
      </c>
      <c r="D96">
        <v>34187711</v>
      </c>
      <c r="E96">
        <v>1</v>
      </c>
      <c r="F96">
        <v>1</v>
      </c>
      <c r="G96">
        <v>15</v>
      </c>
      <c r="H96">
        <v>2</v>
      </c>
      <c r="I96" t="s">
        <v>220</v>
      </c>
      <c r="J96" t="s">
        <v>221</v>
      </c>
      <c r="K96" t="s">
        <v>222</v>
      </c>
      <c r="L96">
        <v>1368</v>
      </c>
      <c r="N96">
        <v>1011</v>
      </c>
      <c r="O96" t="s">
        <v>219</v>
      </c>
      <c r="P96" t="s">
        <v>219</v>
      </c>
      <c r="Q96">
        <v>1</v>
      </c>
      <c r="X96">
        <v>0.13200000000000001</v>
      </c>
      <c r="Y96">
        <v>0</v>
      </c>
      <c r="Z96">
        <v>4.95</v>
      </c>
      <c r="AA96">
        <v>0.82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0.13200000000000001</v>
      </c>
      <c r="AH96">
        <v>2</v>
      </c>
      <c r="AI96">
        <v>37600192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ROW(Source!A156)</f>
        <v>156</v>
      </c>
      <c r="B97">
        <v>37602449</v>
      </c>
      <c r="C97">
        <v>37600188</v>
      </c>
      <c r="D97">
        <v>34188398</v>
      </c>
      <c r="E97">
        <v>1</v>
      </c>
      <c r="F97">
        <v>1</v>
      </c>
      <c r="G97">
        <v>15</v>
      </c>
      <c r="H97">
        <v>2</v>
      </c>
      <c r="I97" t="s">
        <v>286</v>
      </c>
      <c r="J97" t="s">
        <v>287</v>
      </c>
      <c r="K97" t="s">
        <v>288</v>
      </c>
      <c r="L97">
        <v>1368</v>
      </c>
      <c r="N97">
        <v>1011</v>
      </c>
      <c r="O97" t="s">
        <v>219</v>
      </c>
      <c r="P97" t="s">
        <v>219</v>
      </c>
      <c r="Q97">
        <v>1</v>
      </c>
      <c r="X97">
        <v>8.8999999999999996E-2</v>
      </c>
      <c r="Y97">
        <v>0</v>
      </c>
      <c r="Z97">
        <v>666.57</v>
      </c>
      <c r="AA97">
        <v>333.76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8.8999999999999996E-2</v>
      </c>
      <c r="AH97">
        <v>2</v>
      </c>
      <c r="AI97">
        <v>37600193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ROW(Source!A156)</f>
        <v>156</v>
      </c>
      <c r="B98">
        <v>37602450</v>
      </c>
      <c r="C98">
        <v>37600188</v>
      </c>
      <c r="D98">
        <v>34191304</v>
      </c>
      <c r="E98">
        <v>1</v>
      </c>
      <c r="F98">
        <v>1</v>
      </c>
      <c r="G98">
        <v>15</v>
      </c>
      <c r="H98">
        <v>3</v>
      </c>
      <c r="I98" t="s">
        <v>289</v>
      </c>
      <c r="J98" t="s">
        <v>290</v>
      </c>
      <c r="K98" t="s">
        <v>291</v>
      </c>
      <c r="L98">
        <v>1339</v>
      </c>
      <c r="N98">
        <v>1007</v>
      </c>
      <c r="O98" t="s">
        <v>115</v>
      </c>
      <c r="P98" t="s">
        <v>115</v>
      </c>
      <c r="Q98">
        <v>1</v>
      </c>
      <c r="X98">
        <v>5.8999999999999997E-2</v>
      </c>
      <c r="Y98">
        <v>3532.91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5.8999999999999997E-2</v>
      </c>
      <c r="AH98">
        <v>2</v>
      </c>
      <c r="AI98">
        <v>37600194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ROW(Source!A156)</f>
        <v>156</v>
      </c>
      <c r="B99">
        <v>37602451</v>
      </c>
      <c r="C99">
        <v>37600188</v>
      </c>
      <c r="D99">
        <v>34191165</v>
      </c>
      <c r="E99">
        <v>1</v>
      </c>
      <c r="F99">
        <v>1</v>
      </c>
      <c r="G99">
        <v>15</v>
      </c>
      <c r="H99">
        <v>3</v>
      </c>
      <c r="I99" t="s">
        <v>292</v>
      </c>
      <c r="J99" t="s">
        <v>293</v>
      </c>
      <c r="K99" t="s">
        <v>294</v>
      </c>
      <c r="L99">
        <v>1339</v>
      </c>
      <c r="N99">
        <v>1007</v>
      </c>
      <c r="O99" t="s">
        <v>115</v>
      </c>
      <c r="P99" t="s">
        <v>115</v>
      </c>
      <c r="Q99">
        <v>1</v>
      </c>
      <c r="X99">
        <v>6.0000000000000001E-3</v>
      </c>
      <c r="Y99">
        <v>2914.58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6.0000000000000001E-3</v>
      </c>
      <c r="AH99">
        <v>2</v>
      </c>
      <c r="AI99">
        <v>37600195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ROW(Source!A156)</f>
        <v>156</v>
      </c>
      <c r="B100">
        <v>37602452</v>
      </c>
      <c r="C100">
        <v>37600188</v>
      </c>
      <c r="D100">
        <v>34191662</v>
      </c>
      <c r="E100">
        <v>1</v>
      </c>
      <c r="F100">
        <v>1</v>
      </c>
      <c r="G100">
        <v>15</v>
      </c>
      <c r="H100">
        <v>3</v>
      </c>
      <c r="I100" t="s">
        <v>295</v>
      </c>
      <c r="J100" t="s">
        <v>296</v>
      </c>
      <c r="K100" t="s">
        <v>297</v>
      </c>
      <c r="L100">
        <v>1339</v>
      </c>
      <c r="N100">
        <v>1007</v>
      </c>
      <c r="O100" t="s">
        <v>115</v>
      </c>
      <c r="P100" t="s">
        <v>115</v>
      </c>
      <c r="Q100">
        <v>1</v>
      </c>
      <c r="X100">
        <v>4.36E-2</v>
      </c>
      <c r="Y100">
        <v>5979.89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4.36E-2</v>
      </c>
      <c r="AH100">
        <v>2</v>
      </c>
      <c r="AI100">
        <v>37600196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ROW(Source!A156)</f>
        <v>156</v>
      </c>
      <c r="B101">
        <v>37602453</v>
      </c>
      <c r="C101">
        <v>37600188</v>
      </c>
      <c r="D101">
        <v>34178399</v>
      </c>
      <c r="E101">
        <v>15</v>
      </c>
      <c r="F101">
        <v>1</v>
      </c>
      <c r="G101">
        <v>15</v>
      </c>
      <c r="H101">
        <v>3</v>
      </c>
      <c r="I101" t="s">
        <v>298</v>
      </c>
      <c r="J101" t="s">
        <v>3</v>
      </c>
      <c r="K101" t="s">
        <v>299</v>
      </c>
      <c r="L101">
        <v>1348</v>
      </c>
      <c r="N101">
        <v>1009</v>
      </c>
      <c r="O101" t="s">
        <v>29</v>
      </c>
      <c r="P101" t="s">
        <v>29</v>
      </c>
      <c r="Q101">
        <v>1000</v>
      </c>
      <c r="X101">
        <v>0.246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0.246</v>
      </c>
      <c r="AH101">
        <v>2</v>
      </c>
      <c r="AI101">
        <v>37600197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ROW(Source!A157)</f>
        <v>157</v>
      </c>
      <c r="B102">
        <v>37602454</v>
      </c>
      <c r="C102">
        <v>37600207</v>
      </c>
      <c r="D102">
        <v>34187831</v>
      </c>
      <c r="E102">
        <v>1</v>
      </c>
      <c r="F102">
        <v>1</v>
      </c>
      <c r="G102">
        <v>15</v>
      </c>
      <c r="H102">
        <v>2</v>
      </c>
      <c r="I102" t="s">
        <v>232</v>
      </c>
      <c r="J102" t="s">
        <v>233</v>
      </c>
      <c r="K102" t="s">
        <v>234</v>
      </c>
      <c r="L102">
        <v>1368</v>
      </c>
      <c r="N102">
        <v>1011</v>
      </c>
      <c r="O102" t="s">
        <v>219</v>
      </c>
      <c r="P102" t="s">
        <v>219</v>
      </c>
      <c r="Q102">
        <v>1</v>
      </c>
      <c r="X102">
        <v>0.02</v>
      </c>
      <c r="Y102">
        <v>0</v>
      </c>
      <c r="Z102">
        <v>782.71</v>
      </c>
      <c r="AA102">
        <v>410.24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0.02</v>
      </c>
      <c r="AH102">
        <v>2</v>
      </c>
      <c r="AI102">
        <v>37600208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ROW(Source!A157)</f>
        <v>157</v>
      </c>
      <c r="B103">
        <v>37602455</v>
      </c>
      <c r="C103">
        <v>37600207</v>
      </c>
      <c r="D103">
        <v>34187830</v>
      </c>
      <c r="E103">
        <v>1</v>
      </c>
      <c r="F103">
        <v>1</v>
      </c>
      <c r="G103">
        <v>15</v>
      </c>
      <c r="H103">
        <v>2</v>
      </c>
      <c r="I103" t="s">
        <v>235</v>
      </c>
      <c r="J103" t="s">
        <v>236</v>
      </c>
      <c r="K103" t="s">
        <v>237</v>
      </c>
      <c r="L103">
        <v>1368</v>
      </c>
      <c r="N103">
        <v>1011</v>
      </c>
      <c r="O103" t="s">
        <v>219</v>
      </c>
      <c r="P103" t="s">
        <v>219</v>
      </c>
      <c r="Q103">
        <v>1</v>
      </c>
      <c r="X103">
        <v>1.7999999999999999E-2</v>
      </c>
      <c r="Y103">
        <v>0</v>
      </c>
      <c r="Z103">
        <v>939.75</v>
      </c>
      <c r="AA103">
        <v>473.4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1.7999999999999999E-2</v>
      </c>
      <c r="AH103">
        <v>2</v>
      </c>
      <c r="AI103">
        <v>37600209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ROW(Source!A158)</f>
        <v>158</v>
      </c>
      <c r="B104">
        <v>37602456</v>
      </c>
      <c r="C104">
        <v>37600212</v>
      </c>
      <c r="D104">
        <v>34187831</v>
      </c>
      <c r="E104">
        <v>1</v>
      </c>
      <c r="F104">
        <v>1</v>
      </c>
      <c r="G104">
        <v>15</v>
      </c>
      <c r="H104">
        <v>2</v>
      </c>
      <c r="I104" t="s">
        <v>232</v>
      </c>
      <c r="J104" t="s">
        <v>233</v>
      </c>
      <c r="K104" t="s">
        <v>234</v>
      </c>
      <c r="L104">
        <v>1368</v>
      </c>
      <c r="N104">
        <v>1011</v>
      </c>
      <c r="O104" t="s">
        <v>219</v>
      </c>
      <c r="P104" t="s">
        <v>219</v>
      </c>
      <c r="Q104">
        <v>1</v>
      </c>
      <c r="X104">
        <v>0.01</v>
      </c>
      <c r="Y104">
        <v>0</v>
      </c>
      <c r="Z104">
        <v>782.71</v>
      </c>
      <c r="AA104">
        <v>410.24</v>
      </c>
      <c r="AB104">
        <v>0</v>
      </c>
      <c r="AC104">
        <v>0</v>
      </c>
      <c r="AD104">
        <v>1</v>
      </c>
      <c r="AE104">
        <v>0</v>
      </c>
      <c r="AF104" t="s">
        <v>40</v>
      </c>
      <c r="AG104">
        <v>0.25</v>
      </c>
      <c r="AH104">
        <v>2</v>
      </c>
      <c r="AI104">
        <v>37600213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ROW(Source!A158)</f>
        <v>158</v>
      </c>
      <c r="B105">
        <v>37602457</v>
      </c>
      <c r="C105">
        <v>37600212</v>
      </c>
      <c r="D105">
        <v>34187830</v>
      </c>
      <c r="E105">
        <v>1</v>
      </c>
      <c r="F105">
        <v>1</v>
      </c>
      <c r="G105">
        <v>15</v>
      </c>
      <c r="H105">
        <v>2</v>
      </c>
      <c r="I105" t="s">
        <v>235</v>
      </c>
      <c r="J105" t="s">
        <v>236</v>
      </c>
      <c r="K105" t="s">
        <v>237</v>
      </c>
      <c r="L105">
        <v>1368</v>
      </c>
      <c r="N105">
        <v>1011</v>
      </c>
      <c r="O105" t="s">
        <v>219</v>
      </c>
      <c r="P105" t="s">
        <v>219</v>
      </c>
      <c r="Q105">
        <v>1</v>
      </c>
      <c r="X105">
        <v>8.0000000000000002E-3</v>
      </c>
      <c r="Y105">
        <v>0</v>
      </c>
      <c r="Z105">
        <v>939.75</v>
      </c>
      <c r="AA105">
        <v>473.4</v>
      </c>
      <c r="AB105">
        <v>0</v>
      </c>
      <c r="AC105">
        <v>0</v>
      </c>
      <c r="AD105">
        <v>1</v>
      </c>
      <c r="AE105">
        <v>0</v>
      </c>
      <c r="AF105" t="s">
        <v>40</v>
      </c>
      <c r="AG105">
        <v>0.2</v>
      </c>
      <c r="AH105">
        <v>2</v>
      </c>
      <c r="AI105">
        <v>37600214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ROW(Source!A193)</f>
        <v>193</v>
      </c>
      <c r="B106">
        <v>37602458</v>
      </c>
      <c r="C106">
        <v>37600217</v>
      </c>
      <c r="D106">
        <v>34176775</v>
      </c>
      <c r="E106">
        <v>15</v>
      </c>
      <c r="F106">
        <v>1</v>
      </c>
      <c r="G106">
        <v>15</v>
      </c>
      <c r="H106">
        <v>1</v>
      </c>
      <c r="I106" t="s">
        <v>213</v>
      </c>
      <c r="J106" t="s">
        <v>3</v>
      </c>
      <c r="K106" t="s">
        <v>214</v>
      </c>
      <c r="L106">
        <v>1191</v>
      </c>
      <c r="N106">
        <v>1013</v>
      </c>
      <c r="O106" t="s">
        <v>215</v>
      </c>
      <c r="P106" t="s">
        <v>215</v>
      </c>
      <c r="Q106">
        <v>1</v>
      </c>
      <c r="X106">
        <v>72.95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1</v>
      </c>
      <c r="AF106" t="s">
        <v>152</v>
      </c>
      <c r="AG106">
        <v>14.590000000000002</v>
      </c>
      <c r="AH106">
        <v>2</v>
      </c>
      <c r="AI106">
        <v>37600218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ROW(Source!A193)</f>
        <v>193</v>
      </c>
      <c r="B107">
        <v>37602459</v>
      </c>
      <c r="C107">
        <v>37600217</v>
      </c>
      <c r="D107">
        <v>34188392</v>
      </c>
      <c r="E107">
        <v>1</v>
      </c>
      <c r="F107">
        <v>1</v>
      </c>
      <c r="G107">
        <v>15</v>
      </c>
      <c r="H107">
        <v>2</v>
      </c>
      <c r="I107" t="s">
        <v>300</v>
      </c>
      <c r="J107" t="s">
        <v>301</v>
      </c>
      <c r="K107" t="s">
        <v>302</v>
      </c>
      <c r="L107">
        <v>1368</v>
      </c>
      <c r="N107">
        <v>1011</v>
      </c>
      <c r="O107" t="s">
        <v>219</v>
      </c>
      <c r="P107" t="s">
        <v>219</v>
      </c>
      <c r="Q107">
        <v>1</v>
      </c>
      <c r="X107">
        <v>0.26</v>
      </c>
      <c r="Y107">
        <v>0</v>
      </c>
      <c r="Z107">
        <v>542.23</v>
      </c>
      <c r="AA107">
        <v>271.13</v>
      </c>
      <c r="AB107">
        <v>0</v>
      </c>
      <c r="AC107">
        <v>0</v>
      </c>
      <c r="AD107">
        <v>1</v>
      </c>
      <c r="AE107">
        <v>0</v>
      </c>
      <c r="AF107" t="s">
        <v>152</v>
      </c>
      <c r="AG107">
        <v>5.2000000000000005E-2</v>
      </c>
      <c r="AH107">
        <v>2</v>
      </c>
      <c r="AI107">
        <v>37600219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ROW(Source!A193)</f>
        <v>193</v>
      </c>
      <c r="B108">
        <v>37602460</v>
      </c>
      <c r="C108">
        <v>37600217</v>
      </c>
      <c r="D108">
        <v>34191394</v>
      </c>
      <c r="E108">
        <v>1</v>
      </c>
      <c r="F108">
        <v>1</v>
      </c>
      <c r="G108">
        <v>15</v>
      </c>
      <c r="H108">
        <v>3</v>
      </c>
      <c r="I108" t="s">
        <v>303</v>
      </c>
      <c r="J108" t="s">
        <v>304</v>
      </c>
      <c r="K108" t="s">
        <v>305</v>
      </c>
      <c r="L108">
        <v>1339</v>
      </c>
      <c r="N108">
        <v>1007</v>
      </c>
      <c r="O108" t="s">
        <v>115</v>
      </c>
      <c r="P108" t="s">
        <v>115</v>
      </c>
      <c r="Q108">
        <v>1</v>
      </c>
      <c r="X108">
        <v>4.3</v>
      </c>
      <c r="Y108">
        <v>3471.23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4.3</v>
      </c>
      <c r="AH108">
        <v>2</v>
      </c>
      <c r="AI108">
        <v>37600220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ROW(Source!A193)</f>
        <v>193</v>
      </c>
      <c r="B109">
        <v>37602461</v>
      </c>
      <c r="C109">
        <v>37600217</v>
      </c>
      <c r="D109">
        <v>34191165</v>
      </c>
      <c r="E109">
        <v>1</v>
      </c>
      <c r="F109">
        <v>1</v>
      </c>
      <c r="G109">
        <v>15</v>
      </c>
      <c r="H109">
        <v>3</v>
      </c>
      <c r="I109" t="s">
        <v>292</v>
      </c>
      <c r="J109" t="s">
        <v>293</v>
      </c>
      <c r="K109" t="s">
        <v>294</v>
      </c>
      <c r="L109">
        <v>1339</v>
      </c>
      <c r="N109">
        <v>1007</v>
      </c>
      <c r="O109" t="s">
        <v>115</v>
      </c>
      <c r="P109" t="s">
        <v>115</v>
      </c>
      <c r="Q109">
        <v>1</v>
      </c>
      <c r="X109">
        <v>0.02</v>
      </c>
      <c r="Y109">
        <v>2914.58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0.02</v>
      </c>
      <c r="AH109">
        <v>2</v>
      </c>
      <c r="AI109">
        <v>37600221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ROW(Source!A193)</f>
        <v>193</v>
      </c>
      <c r="B110">
        <v>37602462</v>
      </c>
      <c r="C110">
        <v>37600217</v>
      </c>
      <c r="D110">
        <v>34191659</v>
      </c>
      <c r="E110">
        <v>1</v>
      </c>
      <c r="F110">
        <v>1</v>
      </c>
      <c r="G110">
        <v>15</v>
      </c>
      <c r="H110">
        <v>3</v>
      </c>
      <c r="I110" t="s">
        <v>306</v>
      </c>
      <c r="J110" t="s">
        <v>307</v>
      </c>
      <c r="K110" t="s">
        <v>308</v>
      </c>
      <c r="L110">
        <v>1339</v>
      </c>
      <c r="N110">
        <v>1007</v>
      </c>
      <c r="O110" t="s">
        <v>115</v>
      </c>
      <c r="P110" t="s">
        <v>115</v>
      </c>
      <c r="Q110">
        <v>1</v>
      </c>
      <c r="X110">
        <v>1.6</v>
      </c>
      <c r="Y110">
        <v>8526.86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1.6</v>
      </c>
      <c r="AH110">
        <v>2</v>
      </c>
      <c r="AI110">
        <v>37600222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ROW(Source!A194)</f>
        <v>194</v>
      </c>
      <c r="B111">
        <v>37602463</v>
      </c>
      <c r="C111">
        <v>37600228</v>
      </c>
      <c r="D111">
        <v>34188506</v>
      </c>
      <c r="E111">
        <v>1</v>
      </c>
      <c r="F111">
        <v>1</v>
      </c>
      <c r="G111">
        <v>15</v>
      </c>
      <c r="H111">
        <v>2</v>
      </c>
      <c r="I111" t="s">
        <v>229</v>
      </c>
      <c r="J111" t="s">
        <v>230</v>
      </c>
      <c r="K111" t="s">
        <v>231</v>
      </c>
      <c r="L111">
        <v>1368</v>
      </c>
      <c r="N111">
        <v>1011</v>
      </c>
      <c r="O111" t="s">
        <v>219</v>
      </c>
      <c r="P111" t="s">
        <v>219</v>
      </c>
      <c r="Q111">
        <v>1</v>
      </c>
      <c r="X111">
        <v>5.3699999999999998E-2</v>
      </c>
      <c r="Y111">
        <v>0</v>
      </c>
      <c r="Z111">
        <v>1296.1600000000001</v>
      </c>
      <c r="AA111">
        <v>521.28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5.3699999999999998E-2</v>
      </c>
      <c r="AH111">
        <v>2</v>
      </c>
      <c r="AI111">
        <v>37600229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ROW(Source!A195)</f>
        <v>195</v>
      </c>
      <c r="B112">
        <v>37602464</v>
      </c>
      <c r="C112">
        <v>37600231</v>
      </c>
      <c r="D112">
        <v>34187831</v>
      </c>
      <c r="E112">
        <v>1</v>
      </c>
      <c r="F112">
        <v>1</v>
      </c>
      <c r="G112">
        <v>15</v>
      </c>
      <c r="H112">
        <v>2</v>
      </c>
      <c r="I112" t="s">
        <v>232</v>
      </c>
      <c r="J112" t="s">
        <v>233</v>
      </c>
      <c r="K112" t="s">
        <v>234</v>
      </c>
      <c r="L112">
        <v>1368</v>
      </c>
      <c r="N112">
        <v>1011</v>
      </c>
      <c r="O112" t="s">
        <v>219</v>
      </c>
      <c r="P112" t="s">
        <v>219</v>
      </c>
      <c r="Q112">
        <v>1</v>
      </c>
      <c r="X112">
        <v>0.02</v>
      </c>
      <c r="Y112">
        <v>0</v>
      </c>
      <c r="Z112">
        <v>782.71</v>
      </c>
      <c r="AA112">
        <v>410.24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0.02</v>
      </c>
      <c r="AH112">
        <v>2</v>
      </c>
      <c r="AI112">
        <v>37600232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ROW(Source!A195)</f>
        <v>195</v>
      </c>
      <c r="B113">
        <v>37602465</v>
      </c>
      <c r="C113">
        <v>37600231</v>
      </c>
      <c r="D113">
        <v>34187830</v>
      </c>
      <c r="E113">
        <v>1</v>
      </c>
      <c r="F113">
        <v>1</v>
      </c>
      <c r="G113">
        <v>15</v>
      </c>
      <c r="H113">
        <v>2</v>
      </c>
      <c r="I113" t="s">
        <v>235</v>
      </c>
      <c r="J113" t="s">
        <v>236</v>
      </c>
      <c r="K113" t="s">
        <v>237</v>
      </c>
      <c r="L113">
        <v>1368</v>
      </c>
      <c r="N113">
        <v>1011</v>
      </c>
      <c r="O113" t="s">
        <v>219</v>
      </c>
      <c r="P113" t="s">
        <v>219</v>
      </c>
      <c r="Q113">
        <v>1</v>
      </c>
      <c r="X113">
        <v>1.7999999999999999E-2</v>
      </c>
      <c r="Y113">
        <v>0</v>
      </c>
      <c r="Z113">
        <v>939.75</v>
      </c>
      <c r="AA113">
        <v>473.4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1.7999999999999999E-2</v>
      </c>
      <c r="AH113">
        <v>2</v>
      </c>
      <c r="AI113">
        <v>37600233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ROW(Source!A196)</f>
        <v>196</v>
      </c>
      <c r="B114">
        <v>37602466</v>
      </c>
      <c r="C114">
        <v>37600236</v>
      </c>
      <c r="D114">
        <v>34187831</v>
      </c>
      <c r="E114">
        <v>1</v>
      </c>
      <c r="F114">
        <v>1</v>
      </c>
      <c r="G114">
        <v>15</v>
      </c>
      <c r="H114">
        <v>2</v>
      </c>
      <c r="I114" t="s">
        <v>232</v>
      </c>
      <c r="J114" t="s">
        <v>233</v>
      </c>
      <c r="K114" t="s">
        <v>234</v>
      </c>
      <c r="L114">
        <v>1368</v>
      </c>
      <c r="N114">
        <v>1011</v>
      </c>
      <c r="O114" t="s">
        <v>219</v>
      </c>
      <c r="P114" t="s">
        <v>219</v>
      </c>
      <c r="Q114">
        <v>1</v>
      </c>
      <c r="X114">
        <v>0.01</v>
      </c>
      <c r="Y114">
        <v>0</v>
      </c>
      <c r="Z114">
        <v>782.71</v>
      </c>
      <c r="AA114">
        <v>410.24</v>
      </c>
      <c r="AB114">
        <v>0</v>
      </c>
      <c r="AC114">
        <v>0</v>
      </c>
      <c r="AD114">
        <v>1</v>
      </c>
      <c r="AE114">
        <v>0</v>
      </c>
      <c r="AF114" t="s">
        <v>40</v>
      </c>
      <c r="AG114">
        <v>0.25</v>
      </c>
      <c r="AH114">
        <v>2</v>
      </c>
      <c r="AI114">
        <v>37600237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ROW(Source!A196)</f>
        <v>196</v>
      </c>
      <c r="B115">
        <v>37602467</v>
      </c>
      <c r="C115">
        <v>37600236</v>
      </c>
      <c r="D115">
        <v>34187830</v>
      </c>
      <c r="E115">
        <v>1</v>
      </c>
      <c r="F115">
        <v>1</v>
      </c>
      <c r="G115">
        <v>15</v>
      </c>
      <c r="H115">
        <v>2</v>
      </c>
      <c r="I115" t="s">
        <v>235</v>
      </c>
      <c r="J115" t="s">
        <v>236</v>
      </c>
      <c r="K115" t="s">
        <v>237</v>
      </c>
      <c r="L115">
        <v>1368</v>
      </c>
      <c r="N115">
        <v>1011</v>
      </c>
      <c r="O115" t="s">
        <v>219</v>
      </c>
      <c r="P115" t="s">
        <v>219</v>
      </c>
      <c r="Q115">
        <v>1</v>
      </c>
      <c r="X115">
        <v>8.0000000000000002E-3</v>
      </c>
      <c r="Y115">
        <v>0</v>
      </c>
      <c r="Z115">
        <v>939.75</v>
      </c>
      <c r="AA115">
        <v>473.4</v>
      </c>
      <c r="AB115">
        <v>0</v>
      </c>
      <c r="AC115">
        <v>0</v>
      </c>
      <c r="AD115">
        <v>1</v>
      </c>
      <c r="AE115">
        <v>0</v>
      </c>
      <c r="AF115" t="s">
        <v>40</v>
      </c>
      <c r="AG115">
        <v>0.2</v>
      </c>
      <c r="AH115">
        <v>2</v>
      </c>
      <c r="AI115">
        <v>37600238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ROW(Source!A197)</f>
        <v>197</v>
      </c>
      <c r="B116">
        <v>37602468</v>
      </c>
      <c r="C116">
        <v>37600241</v>
      </c>
      <c r="D116">
        <v>34176775</v>
      </c>
      <c r="E116">
        <v>15</v>
      </c>
      <c r="F116">
        <v>1</v>
      </c>
      <c r="G116">
        <v>15</v>
      </c>
      <c r="H116">
        <v>1</v>
      </c>
      <c r="I116" t="s">
        <v>213</v>
      </c>
      <c r="J116" t="s">
        <v>3</v>
      </c>
      <c r="K116" t="s">
        <v>214</v>
      </c>
      <c r="L116">
        <v>1191</v>
      </c>
      <c r="N116">
        <v>1013</v>
      </c>
      <c r="O116" t="s">
        <v>215</v>
      </c>
      <c r="P116" t="s">
        <v>215</v>
      </c>
      <c r="Q116">
        <v>1</v>
      </c>
      <c r="X116">
        <v>72.95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1</v>
      </c>
      <c r="AF116" t="s">
        <v>3</v>
      </c>
      <c r="AG116">
        <v>72.95</v>
      </c>
      <c r="AH116">
        <v>2</v>
      </c>
      <c r="AI116">
        <v>37600242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ROW(Source!A197)</f>
        <v>197</v>
      </c>
      <c r="B117">
        <v>37602469</v>
      </c>
      <c r="C117">
        <v>37600241</v>
      </c>
      <c r="D117">
        <v>34188392</v>
      </c>
      <c r="E117">
        <v>1</v>
      </c>
      <c r="F117">
        <v>1</v>
      </c>
      <c r="G117">
        <v>15</v>
      </c>
      <c r="H117">
        <v>2</v>
      </c>
      <c r="I117" t="s">
        <v>300</v>
      </c>
      <c r="J117" t="s">
        <v>301</v>
      </c>
      <c r="K117" t="s">
        <v>302</v>
      </c>
      <c r="L117">
        <v>1368</v>
      </c>
      <c r="N117">
        <v>1011</v>
      </c>
      <c r="O117" t="s">
        <v>219</v>
      </c>
      <c r="P117" t="s">
        <v>219</v>
      </c>
      <c r="Q117">
        <v>1</v>
      </c>
      <c r="X117">
        <v>0.26</v>
      </c>
      <c r="Y117">
        <v>0</v>
      </c>
      <c r="Z117">
        <v>542.23</v>
      </c>
      <c r="AA117">
        <v>271.13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0.26</v>
      </c>
      <c r="AH117">
        <v>2</v>
      </c>
      <c r="AI117">
        <v>37600243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ROW(Source!A197)</f>
        <v>197</v>
      </c>
      <c r="B118">
        <v>37602470</v>
      </c>
      <c r="C118">
        <v>37600241</v>
      </c>
      <c r="D118">
        <v>34191394</v>
      </c>
      <c r="E118">
        <v>1</v>
      </c>
      <c r="F118">
        <v>1</v>
      </c>
      <c r="G118">
        <v>15</v>
      </c>
      <c r="H118">
        <v>3</v>
      </c>
      <c r="I118" t="s">
        <v>303</v>
      </c>
      <c r="J118" t="s">
        <v>304</v>
      </c>
      <c r="K118" t="s">
        <v>305</v>
      </c>
      <c r="L118">
        <v>1339</v>
      </c>
      <c r="N118">
        <v>1007</v>
      </c>
      <c r="O118" t="s">
        <v>115</v>
      </c>
      <c r="P118" t="s">
        <v>115</v>
      </c>
      <c r="Q118">
        <v>1</v>
      </c>
      <c r="X118">
        <v>4.3</v>
      </c>
      <c r="Y118">
        <v>3471.23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4.3</v>
      </c>
      <c r="AH118">
        <v>2</v>
      </c>
      <c r="AI118">
        <v>37600244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ROW(Source!A197)</f>
        <v>197</v>
      </c>
      <c r="B119">
        <v>37602471</v>
      </c>
      <c r="C119">
        <v>37600241</v>
      </c>
      <c r="D119">
        <v>34191165</v>
      </c>
      <c r="E119">
        <v>1</v>
      </c>
      <c r="F119">
        <v>1</v>
      </c>
      <c r="G119">
        <v>15</v>
      </c>
      <c r="H119">
        <v>3</v>
      </c>
      <c r="I119" t="s">
        <v>292</v>
      </c>
      <c r="J119" t="s">
        <v>293</v>
      </c>
      <c r="K119" t="s">
        <v>294</v>
      </c>
      <c r="L119">
        <v>1339</v>
      </c>
      <c r="N119">
        <v>1007</v>
      </c>
      <c r="O119" t="s">
        <v>115</v>
      </c>
      <c r="P119" t="s">
        <v>115</v>
      </c>
      <c r="Q119">
        <v>1</v>
      </c>
      <c r="X119">
        <v>0.02</v>
      </c>
      <c r="Y119">
        <v>2914.58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0.02</v>
      </c>
      <c r="AH119">
        <v>2</v>
      </c>
      <c r="AI119">
        <v>37600245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ROW(Source!A197)</f>
        <v>197</v>
      </c>
      <c r="B120">
        <v>37602472</v>
      </c>
      <c r="C120">
        <v>37600241</v>
      </c>
      <c r="D120">
        <v>34191659</v>
      </c>
      <c r="E120">
        <v>1</v>
      </c>
      <c r="F120">
        <v>1</v>
      </c>
      <c r="G120">
        <v>15</v>
      </c>
      <c r="H120">
        <v>3</v>
      </c>
      <c r="I120" t="s">
        <v>306</v>
      </c>
      <c r="J120" t="s">
        <v>307</v>
      </c>
      <c r="K120" t="s">
        <v>308</v>
      </c>
      <c r="L120">
        <v>1339</v>
      </c>
      <c r="N120">
        <v>1007</v>
      </c>
      <c r="O120" t="s">
        <v>115</v>
      </c>
      <c r="P120" t="s">
        <v>115</v>
      </c>
      <c r="Q120">
        <v>1</v>
      </c>
      <c r="X120">
        <v>1.6</v>
      </c>
      <c r="Y120">
        <v>8526.86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1.6</v>
      </c>
      <c r="AH120">
        <v>2</v>
      </c>
      <c r="AI120">
        <v>37600246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ROW(Source!A261)</f>
        <v>261</v>
      </c>
      <c r="B121">
        <v>37602473</v>
      </c>
      <c r="C121">
        <v>37600252</v>
      </c>
      <c r="D121">
        <v>34176775</v>
      </c>
      <c r="E121">
        <v>15</v>
      </c>
      <c r="F121">
        <v>1</v>
      </c>
      <c r="G121">
        <v>15</v>
      </c>
      <c r="H121">
        <v>1</v>
      </c>
      <c r="I121" t="s">
        <v>213</v>
      </c>
      <c r="J121" t="s">
        <v>3</v>
      </c>
      <c r="K121" t="s">
        <v>214</v>
      </c>
      <c r="L121">
        <v>1191</v>
      </c>
      <c r="N121">
        <v>1013</v>
      </c>
      <c r="O121" t="s">
        <v>215</v>
      </c>
      <c r="P121" t="s">
        <v>215</v>
      </c>
      <c r="Q121">
        <v>1</v>
      </c>
      <c r="X121">
        <v>1.05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1</v>
      </c>
      <c r="AF121" t="s">
        <v>3</v>
      </c>
      <c r="AG121">
        <v>1.05</v>
      </c>
      <c r="AH121">
        <v>2</v>
      </c>
      <c r="AI121">
        <v>37600253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ROW(Source!A261)</f>
        <v>261</v>
      </c>
      <c r="B122">
        <v>37602474</v>
      </c>
      <c r="C122">
        <v>37600252</v>
      </c>
      <c r="D122">
        <v>34188481</v>
      </c>
      <c r="E122">
        <v>1</v>
      </c>
      <c r="F122">
        <v>1</v>
      </c>
      <c r="G122">
        <v>15</v>
      </c>
      <c r="H122">
        <v>2</v>
      </c>
      <c r="I122" t="s">
        <v>274</v>
      </c>
      <c r="J122" t="s">
        <v>275</v>
      </c>
      <c r="K122" t="s">
        <v>276</v>
      </c>
      <c r="L122">
        <v>1368</v>
      </c>
      <c r="N122">
        <v>1011</v>
      </c>
      <c r="O122" t="s">
        <v>219</v>
      </c>
      <c r="P122" t="s">
        <v>219</v>
      </c>
      <c r="Q122">
        <v>1</v>
      </c>
      <c r="X122">
        <v>0.82</v>
      </c>
      <c r="Y122">
        <v>0</v>
      </c>
      <c r="Z122">
        <v>770.83</v>
      </c>
      <c r="AA122">
        <v>421.3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0.82</v>
      </c>
      <c r="AH122">
        <v>2</v>
      </c>
      <c r="AI122">
        <v>37600254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ROW(Source!A261)</f>
        <v>261</v>
      </c>
      <c r="B123">
        <v>37602475</v>
      </c>
      <c r="C123">
        <v>37600252</v>
      </c>
      <c r="D123">
        <v>34188505</v>
      </c>
      <c r="E123">
        <v>1</v>
      </c>
      <c r="F123">
        <v>1</v>
      </c>
      <c r="G123">
        <v>15</v>
      </c>
      <c r="H123">
        <v>2</v>
      </c>
      <c r="I123" t="s">
        <v>277</v>
      </c>
      <c r="J123" t="s">
        <v>278</v>
      </c>
      <c r="K123" t="s">
        <v>279</v>
      </c>
      <c r="L123">
        <v>1368</v>
      </c>
      <c r="N123">
        <v>1011</v>
      </c>
      <c r="O123" t="s">
        <v>219</v>
      </c>
      <c r="P123" t="s">
        <v>219</v>
      </c>
      <c r="Q123">
        <v>1</v>
      </c>
      <c r="X123">
        <v>3.54</v>
      </c>
      <c r="Y123">
        <v>0</v>
      </c>
      <c r="Z123">
        <v>1217.8599999999999</v>
      </c>
      <c r="AA123">
        <v>470.88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3.54</v>
      </c>
      <c r="AH123">
        <v>2</v>
      </c>
      <c r="AI123">
        <v>37600255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ROW(Source!A262)</f>
        <v>262</v>
      </c>
      <c r="B124">
        <v>37602476</v>
      </c>
      <c r="C124">
        <v>37600259</v>
      </c>
      <c r="D124">
        <v>34187830</v>
      </c>
      <c r="E124">
        <v>1</v>
      </c>
      <c r="F124">
        <v>1</v>
      </c>
      <c r="G124">
        <v>15</v>
      </c>
      <c r="H124">
        <v>2</v>
      </c>
      <c r="I124" t="s">
        <v>235</v>
      </c>
      <c r="J124" t="s">
        <v>236</v>
      </c>
      <c r="K124" t="s">
        <v>237</v>
      </c>
      <c r="L124">
        <v>1368</v>
      </c>
      <c r="N124">
        <v>1011</v>
      </c>
      <c r="O124" t="s">
        <v>219</v>
      </c>
      <c r="P124" t="s">
        <v>219</v>
      </c>
      <c r="Q124">
        <v>1</v>
      </c>
      <c r="X124">
        <v>3.1E-2</v>
      </c>
      <c r="Y124">
        <v>0</v>
      </c>
      <c r="Z124">
        <v>939.75</v>
      </c>
      <c r="AA124">
        <v>473.4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3.1E-2</v>
      </c>
      <c r="AH124">
        <v>2</v>
      </c>
      <c r="AI124">
        <v>37600260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ROW(Source!A263)</f>
        <v>263</v>
      </c>
      <c r="B125">
        <v>37602477</v>
      </c>
      <c r="C125">
        <v>37600262</v>
      </c>
      <c r="D125">
        <v>34187830</v>
      </c>
      <c r="E125">
        <v>1</v>
      </c>
      <c r="F125">
        <v>1</v>
      </c>
      <c r="G125">
        <v>15</v>
      </c>
      <c r="H125">
        <v>2</v>
      </c>
      <c r="I125" t="s">
        <v>235</v>
      </c>
      <c r="J125" t="s">
        <v>236</v>
      </c>
      <c r="K125" t="s">
        <v>237</v>
      </c>
      <c r="L125">
        <v>1368</v>
      </c>
      <c r="N125">
        <v>1011</v>
      </c>
      <c r="O125" t="s">
        <v>219</v>
      </c>
      <c r="P125" t="s">
        <v>219</v>
      </c>
      <c r="Q125">
        <v>1</v>
      </c>
      <c r="X125">
        <v>0.01</v>
      </c>
      <c r="Y125">
        <v>0</v>
      </c>
      <c r="Z125">
        <v>939.75</v>
      </c>
      <c r="AA125">
        <v>473.4</v>
      </c>
      <c r="AB125">
        <v>0</v>
      </c>
      <c r="AC125">
        <v>0</v>
      </c>
      <c r="AD125">
        <v>1</v>
      </c>
      <c r="AE125">
        <v>0</v>
      </c>
      <c r="AF125" t="s">
        <v>121</v>
      </c>
      <c r="AG125">
        <v>0.26</v>
      </c>
      <c r="AH125">
        <v>2</v>
      </c>
      <c r="AI125">
        <v>37600263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ROW(Source!A264)</f>
        <v>264</v>
      </c>
      <c r="B126">
        <v>37602478</v>
      </c>
      <c r="C126">
        <v>37600265</v>
      </c>
      <c r="D126">
        <v>34176775</v>
      </c>
      <c r="E126">
        <v>15</v>
      </c>
      <c r="F126">
        <v>1</v>
      </c>
      <c r="G126">
        <v>15</v>
      </c>
      <c r="H126">
        <v>1</v>
      </c>
      <c r="I126" t="s">
        <v>213</v>
      </c>
      <c r="J126" t="s">
        <v>3</v>
      </c>
      <c r="K126" t="s">
        <v>214</v>
      </c>
      <c r="L126">
        <v>1191</v>
      </c>
      <c r="N126">
        <v>1013</v>
      </c>
      <c r="O126" t="s">
        <v>215</v>
      </c>
      <c r="P126" t="s">
        <v>215</v>
      </c>
      <c r="Q126">
        <v>1</v>
      </c>
      <c r="X126">
        <v>16.559999999999999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1</v>
      </c>
      <c r="AF126" t="s">
        <v>3</v>
      </c>
      <c r="AG126">
        <v>16.559999999999999</v>
      </c>
      <c r="AH126">
        <v>2</v>
      </c>
      <c r="AI126">
        <v>37600266</v>
      </c>
      <c r="AJ126">
        <v>126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ROW(Source!A264)</f>
        <v>264</v>
      </c>
      <c r="B127">
        <v>37602479</v>
      </c>
      <c r="C127">
        <v>37600265</v>
      </c>
      <c r="D127">
        <v>34188463</v>
      </c>
      <c r="E127">
        <v>1</v>
      </c>
      <c r="F127">
        <v>1</v>
      </c>
      <c r="G127">
        <v>15</v>
      </c>
      <c r="H127">
        <v>2</v>
      </c>
      <c r="I127" t="s">
        <v>226</v>
      </c>
      <c r="J127" t="s">
        <v>227</v>
      </c>
      <c r="K127" t="s">
        <v>228</v>
      </c>
      <c r="L127">
        <v>1368</v>
      </c>
      <c r="N127">
        <v>1011</v>
      </c>
      <c r="O127" t="s">
        <v>219</v>
      </c>
      <c r="P127" t="s">
        <v>219</v>
      </c>
      <c r="Q127">
        <v>1</v>
      </c>
      <c r="X127">
        <v>2.08</v>
      </c>
      <c r="Y127">
        <v>0</v>
      </c>
      <c r="Z127">
        <v>936.41</v>
      </c>
      <c r="AA127">
        <v>403.45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2.08</v>
      </c>
      <c r="AH127">
        <v>2</v>
      </c>
      <c r="AI127">
        <v>37600267</v>
      </c>
      <c r="AJ127">
        <v>127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ROW(Source!A264)</f>
        <v>264</v>
      </c>
      <c r="B128">
        <v>37602480</v>
      </c>
      <c r="C128">
        <v>37600265</v>
      </c>
      <c r="D128">
        <v>34188306</v>
      </c>
      <c r="E128">
        <v>1</v>
      </c>
      <c r="F128">
        <v>1</v>
      </c>
      <c r="G128">
        <v>15</v>
      </c>
      <c r="H128">
        <v>2</v>
      </c>
      <c r="I128" t="s">
        <v>238</v>
      </c>
      <c r="J128" t="s">
        <v>239</v>
      </c>
      <c r="K128" t="s">
        <v>240</v>
      </c>
      <c r="L128">
        <v>1368</v>
      </c>
      <c r="N128">
        <v>1011</v>
      </c>
      <c r="O128" t="s">
        <v>219</v>
      </c>
      <c r="P128" t="s">
        <v>219</v>
      </c>
      <c r="Q128">
        <v>1</v>
      </c>
      <c r="X128">
        <v>2.08</v>
      </c>
      <c r="Y128">
        <v>0</v>
      </c>
      <c r="Z128">
        <v>354.92</v>
      </c>
      <c r="AA128">
        <v>157.22999999999999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2.08</v>
      </c>
      <c r="AH128">
        <v>2</v>
      </c>
      <c r="AI128">
        <v>37600268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ROW(Source!A264)</f>
        <v>264</v>
      </c>
      <c r="B129">
        <v>37602481</v>
      </c>
      <c r="C129">
        <v>37600265</v>
      </c>
      <c r="D129">
        <v>34188303</v>
      </c>
      <c r="E129">
        <v>1</v>
      </c>
      <c r="F129">
        <v>1</v>
      </c>
      <c r="G129">
        <v>15</v>
      </c>
      <c r="H129">
        <v>2</v>
      </c>
      <c r="I129" t="s">
        <v>241</v>
      </c>
      <c r="J129" t="s">
        <v>242</v>
      </c>
      <c r="K129" t="s">
        <v>243</v>
      </c>
      <c r="L129">
        <v>1368</v>
      </c>
      <c r="N129">
        <v>1011</v>
      </c>
      <c r="O129" t="s">
        <v>219</v>
      </c>
      <c r="P129" t="s">
        <v>219</v>
      </c>
      <c r="Q129">
        <v>1</v>
      </c>
      <c r="X129">
        <v>0.81</v>
      </c>
      <c r="Y129">
        <v>0</v>
      </c>
      <c r="Z129">
        <v>1527.34</v>
      </c>
      <c r="AA129">
        <v>334.88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0.81</v>
      </c>
      <c r="AH129">
        <v>2</v>
      </c>
      <c r="AI129">
        <v>37600269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ROW(Source!A264)</f>
        <v>264</v>
      </c>
      <c r="B130">
        <v>37602482</v>
      </c>
      <c r="C130">
        <v>37600265</v>
      </c>
      <c r="D130">
        <v>34188265</v>
      </c>
      <c r="E130">
        <v>1</v>
      </c>
      <c r="F130">
        <v>1</v>
      </c>
      <c r="G130">
        <v>15</v>
      </c>
      <c r="H130">
        <v>2</v>
      </c>
      <c r="I130" t="s">
        <v>223</v>
      </c>
      <c r="J130" t="s">
        <v>224</v>
      </c>
      <c r="K130" t="s">
        <v>225</v>
      </c>
      <c r="L130">
        <v>1368</v>
      </c>
      <c r="N130">
        <v>1011</v>
      </c>
      <c r="O130" t="s">
        <v>219</v>
      </c>
      <c r="P130" t="s">
        <v>219</v>
      </c>
      <c r="Q130">
        <v>1</v>
      </c>
      <c r="X130">
        <v>1.94</v>
      </c>
      <c r="Y130">
        <v>0</v>
      </c>
      <c r="Z130">
        <v>1142.6300000000001</v>
      </c>
      <c r="AA130">
        <v>468.35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1.94</v>
      </c>
      <c r="AH130">
        <v>2</v>
      </c>
      <c r="AI130">
        <v>37600270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ROW(Source!A264)</f>
        <v>264</v>
      </c>
      <c r="B131">
        <v>37602483</v>
      </c>
      <c r="C131">
        <v>37600265</v>
      </c>
      <c r="D131">
        <v>34188313</v>
      </c>
      <c r="E131">
        <v>1</v>
      </c>
      <c r="F131">
        <v>1</v>
      </c>
      <c r="G131">
        <v>15</v>
      </c>
      <c r="H131">
        <v>2</v>
      </c>
      <c r="I131" t="s">
        <v>244</v>
      </c>
      <c r="J131" t="s">
        <v>245</v>
      </c>
      <c r="K131" t="s">
        <v>246</v>
      </c>
      <c r="L131">
        <v>1368</v>
      </c>
      <c r="N131">
        <v>1011</v>
      </c>
      <c r="O131" t="s">
        <v>219</v>
      </c>
      <c r="P131" t="s">
        <v>219</v>
      </c>
      <c r="Q131">
        <v>1</v>
      </c>
      <c r="X131">
        <v>0.65</v>
      </c>
      <c r="Y131">
        <v>0</v>
      </c>
      <c r="Z131">
        <v>1590.37</v>
      </c>
      <c r="AA131">
        <v>497.81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0.65</v>
      </c>
      <c r="AH131">
        <v>2</v>
      </c>
      <c r="AI131">
        <v>37600271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ROW(Source!A264)</f>
        <v>264</v>
      </c>
      <c r="B132">
        <v>37602484</v>
      </c>
      <c r="C132">
        <v>37600265</v>
      </c>
      <c r="D132">
        <v>34189650</v>
      </c>
      <c r="E132">
        <v>1</v>
      </c>
      <c r="F132">
        <v>1</v>
      </c>
      <c r="G132">
        <v>15</v>
      </c>
      <c r="H132">
        <v>3</v>
      </c>
      <c r="I132" t="s">
        <v>247</v>
      </c>
      <c r="J132" t="s">
        <v>248</v>
      </c>
      <c r="K132" t="s">
        <v>249</v>
      </c>
      <c r="L132">
        <v>1339</v>
      </c>
      <c r="N132">
        <v>1007</v>
      </c>
      <c r="O132" t="s">
        <v>115</v>
      </c>
      <c r="P132" t="s">
        <v>115</v>
      </c>
      <c r="Q132">
        <v>1</v>
      </c>
      <c r="X132">
        <v>110</v>
      </c>
      <c r="Y132">
        <v>559.23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110</v>
      </c>
      <c r="AH132">
        <v>2</v>
      </c>
      <c r="AI132">
        <v>37600272</v>
      </c>
      <c r="AJ132">
        <v>132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ROW(Source!A264)</f>
        <v>264</v>
      </c>
      <c r="B133">
        <v>37602485</v>
      </c>
      <c r="C133">
        <v>37600265</v>
      </c>
      <c r="D133">
        <v>34190363</v>
      </c>
      <c r="E133">
        <v>1</v>
      </c>
      <c r="F133">
        <v>1</v>
      </c>
      <c r="G133">
        <v>15</v>
      </c>
      <c r="H133">
        <v>3</v>
      </c>
      <c r="I133" t="s">
        <v>250</v>
      </c>
      <c r="J133" t="s">
        <v>251</v>
      </c>
      <c r="K133" t="s">
        <v>252</v>
      </c>
      <c r="L133">
        <v>1339</v>
      </c>
      <c r="N133">
        <v>1007</v>
      </c>
      <c r="O133" t="s">
        <v>115</v>
      </c>
      <c r="P133" t="s">
        <v>115</v>
      </c>
      <c r="Q133">
        <v>1</v>
      </c>
      <c r="X133">
        <v>5</v>
      </c>
      <c r="Y133">
        <v>28.77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5</v>
      </c>
      <c r="AH133">
        <v>2</v>
      </c>
      <c r="AI133">
        <v>37600273</v>
      </c>
      <c r="AJ133">
        <v>133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ROW(Source!A265)</f>
        <v>265</v>
      </c>
      <c r="B134">
        <v>37602486</v>
      </c>
      <c r="C134">
        <v>37600282</v>
      </c>
      <c r="D134">
        <v>34176775</v>
      </c>
      <c r="E134">
        <v>15</v>
      </c>
      <c r="F134">
        <v>1</v>
      </c>
      <c r="G134">
        <v>15</v>
      </c>
      <c r="H134">
        <v>1</v>
      </c>
      <c r="I134" t="s">
        <v>213</v>
      </c>
      <c r="J134" t="s">
        <v>3</v>
      </c>
      <c r="K134" t="s">
        <v>214</v>
      </c>
      <c r="L134">
        <v>1191</v>
      </c>
      <c r="N134">
        <v>1013</v>
      </c>
      <c r="O134" t="s">
        <v>215</v>
      </c>
      <c r="P134" t="s">
        <v>215</v>
      </c>
      <c r="Q134">
        <v>1</v>
      </c>
      <c r="X134">
        <v>24.84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1</v>
      </c>
      <c r="AF134" t="s">
        <v>3</v>
      </c>
      <c r="AG134">
        <v>24.84</v>
      </c>
      <c r="AH134">
        <v>2</v>
      </c>
      <c r="AI134">
        <v>37600283</v>
      </c>
      <c r="AJ134">
        <v>134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ROW(Source!A265)</f>
        <v>265</v>
      </c>
      <c r="B135">
        <v>37602487</v>
      </c>
      <c r="C135">
        <v>37600282</v>
      </c>
      <c r="D135">
        <v>34188482</v>
      </c>
      <c r="E135">
        <v>1</v>
      </c>
      <c r="F135">
        <v>1</v>
      </c>
      <c r="G135">
        <v>15</v>
      </c>
      <c r="H135">
        <v>2</v>
      </c>
      <c r="I135" t="s">
        <v>253</v>
      </c>
      <c r="J135" t="s">
        <v>254</v>
      </c>
      <c r="K135" t="s">
        <v>255</v>
      </c>
      <c r="L135">
        <v>1368</v>
      </c>
      <c r="N135">
        <v>1011</v>
      </c>
      <c r="O135" t="s">
        <v>219</v>
      </c>
      <c r="P135" t="s">
        <v>219</v>
      </c>
      <c r="Q135">
        <v>1</v>
      </c>
      <c r="X135">
        <v>2.94</v>
      </c>
      <c r="Y135">
        <v>0</v>
      </c>
      <c r="Z135">
        <v>711.82</v>
      </c>
      <c r="AA135">
        <v>363.48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2.94</v>
      </c>
      <c r="AH135">
        <v>2</v>
      </c>
      <c r="AI135">
        <v>37600284</v>
      </c>
      <c r="AJ135">
        <v>135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ROW(Source!A265)</f>
        <v>265</v>
      </c>
      <c r="B136">
        <v>37602488</v>
      </c>
      <c r="C136">
        <v>37600282</v>
      </c>
      <c r="D136">
        <v>34188303</v>
      </c>
      <c r="E136">
        <v>1</v>
      </c>
      <c r="F136">
        <v>1</v>
      </c>
      <c r="G136">
        <v>15</v>
      </c>
      <c r="H136">
        <v>2</v>
      </c>
      <c r="I136" t="s">
        <v>241</v>
      </c>
      <c r="J136" t="s">
        <v>242</v>
      </c>
      <c r="K136" t="s">
        <v>243</v>
      </c>
      <c r="L136">
        <v>1368</v>
      </c>
      <c r="N136">
        <v>1011</v>
      </c>
      <c r="O136" t="s">
        <v>219</v>
      </c>
      <c r="P136" t="s">
        <v>219</v>
      </c>
      <c r="Q136">
        <v>1</v>
      </c>
      <c r="X136">
        <v>1.1399999999999999</v>
      </c>
      <c r="Y136">
        <v>0</v>
      </c>
      <c r="Z136">
        <v>1527.34</v>
      </c>
      <c r="AA136">
        <v>334.88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1.1399999999999999</v>
      </c>
      <c r="AH136">
        <v>2</v>
      </c>
      <c r="AI136">
        <v>37600285</v>
      </c>
      <c r="AJ136">
        <v>136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ROW(Source!A265)</f>
        <v>265</v>
      </c>
      <c r="B137">
        <v>37602489</v>
      </c>
      <c r="C137">
        <v>37600282</v>
      </c>
      <c r="D137">
        <v>34188322</v>
      </c>
      <c r="E137">
        <v>1</v>
      </c>
      <c r="F137">
        <v>1</v>
      </c>
      <c r="G137">
        <v>15</v>
      </c>
      <c r="H137">
        <v>2</v>
      </c>
      <c r="I137" t="s">
        <v>256</v>
      </c>
      <c r="J137" t="s">
        <v>257</v>
      </c>
      <c r="K137" t="s">
        <v>258</v>
      </c>
      <c r="L137">
        <v>1368</v>
      </c>
      <c r="N137">
        <v>1011</v>
      </c>
      <c r="O137" t="s">
        <v>219</v>
      </c>
      <c r="P137" t="s">
        <v>219</v>
      </c>
      <c r="Q137">
        <v>1</v>
      </c>
      <c r="X137">
        <v>8.9600000000000009</v>
      </c>
      <c r="Y137">
        <v>0</v>
      </c>
      <c r="Z137">
        <v>984.76</v>
      </c>
      <c r="AA137">
        <v>387.07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8.9600000000000009</v>
      </c>
      <c r="AH137">
        <v>2</v>
      </c>
      <c r="AI137">
        <v>37600286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ROW(Source!A265)</f>
        <v>265</v>
      </c>
      <c r="B138">
        <v>37602490</v>
      </c>
      <c r="C138">
        <v>37600282</v>
      </c>
      <c r="D138">
        <v>34188321</v>
      </c>
      <c r="E138">
        <v>1</v>
      </c>
      <c r="F138">
        <v>1</v>
      </c>
      <c r="G138">
        <v>15</v>
      </c>
      <c r="H138">
        <v>2</v>
      </c>
      <c r="I138" t="s">
        <v>259</v>
      </c>
      <c r="J138" t="s">
        <v>260</v>
      </c>
      <c r="K138" t="s">
        <v>261</v>
      </c>
      <c r="L138">
        <v>1368</v>
      </c>
      <c r="N138">
        <v>1011</v>
      </c>
      <c r="O138" t="s">
        <v>219</v>
      </c>
      <c r="P138" t="s">
        <v>219</v>
      </c>
      <c r="Q138">
        <v>1</v>
      </c>
      <c r="X138">
        <v>18.25</v>
      </c>
      <c r="Y138">
        <v>0</v>
      </c>
      <c r="Z138">
        <v>1482.31</v>
      </c>
      <c r="AA138">
        <v>526.20000000000005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18.25</v>
      </c>
      <c r="AH138">
        <v>2</v>
      </c>
      <c r="AI138">
        <v>37600287</v>
      </c>
      <c r="AJ138">
        <v>138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ROW(Source!A265)</f>
        <v>265</v>
      </c>
      <c r="B139">
        <v>37602491</v>
      </c>
      <c r="C139">
        <v>37600282</v>
      </c>
      <c r="D139">
        <v>34188265</v>
      </c>
      <c r="E139">
        <v>1</v>
      </c>
      <c r="F139">
        <v>1</v>
      </c>
      <c r="G139">
        <v>15</v>
      </c>
      <c r="H139">
        <v>2</v>
      </c>
      <c r="I139" t="s">
        <v>223</v>
      </c>
      <c r="J139" t="s">
        <v>224</v>
      </c>
      <c r="K139" t="s">
        <v>225</v>
      </c>
      <c r="L139">
        <v>1368</v>
      </c>
      <c r="N139">
        <v>1011</v>
      </c>
      <c r="O139" t="s">
        <v>219</v>
      </c>
      <c r="P139" t="s">
        <v>219</v>
      </c>
      <c r="Q139">
        <v>1</v>
      </c>
      <c r="X139">
        <v>2.2400000000000002</v>
      </c>
      <c r="Y139">
        <v>0</v>
      </c>
      <c r="Z139">
        <v>1142.6300000000001</v>
      </c>
      <c r="AA139">
        <v>468.35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2.2400000000000002</v>
      </c>
      <c r="AH139">
        <v>2</v>
      </c>
      <c r="AI139">
        <v>37600288</v>
      </c>
      <c r="AJ139">
        <v>139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ROW(Source!A265)</f>
        <v>265</v>
      </c>
      <c r="B140">
        <v>37602492</v>
      </c>
      <c r="C140">
        <v>37600282</v>
      </c>
      <c r="D140">
        <v>34188313</v>
      </c>
      <c r="E140">
        <v>1</v>
      </c>
      <c r="F140">
        <v>1</v>
      </c>
      <c r="G140">
        <v>15</v>
      </c>
      <c r="H140">
        <v>2</v>
      </c>
      <c r="I140" t="s">
        <v>244</v>
      </c>
      <c r="J140" t="s">
        <v>245</v>
      </c>
      <c r="K140" t="s">
        <v>246</v>
      </c>
      <c r="L140">
        <v>1368</v>
      </c>
      <c r="N140">
        <v>1011</v>
      </c>
      <c r="O140" t="s">
        <v>219</v>
      </c>
      <c r="P140" t="s">
        <v>219</v>
      </c>
      <c r="Q140">
        <v>1</v>
      </c>
      <c r="X140">
        <v>0.65</v>
      </c>
      <c r="Y140">
        <v>0</v>
      </c>
      <c r="Z140">
        <v>1590.37</v>
      </c>
      <c r="AA140">
        <v>497.81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0.65</v>
      </c>
      <c r="AH140">
        <v>2</v>
      </c>
      <c r="AI140">
        <v>37600289</v>
      </c>
      <c r="AJ140">
        <v>140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ROW(Source!A265)</f>
        <v>265</v>
      </c>
      <c r="B141">
        <v>37602493</v>
      </c>
      <c r="C141">
        <v>37600282</v>
      </c>
      <c r="D141">
        <v>34189676</v>
      </c>
      <c r="E141">
        <v>1</v>
      </c>
      <c r="F141">
        <v>1</v>
      </c>
      <c r="G141">
        <v>15</v>
      </c>
      <c r="H141">
        <v>3</v>
      </c>
      <c r="I141" t="s">
        <v>262</v>
      </c>
      <c r="J141" t="s">
        <v>263</v>
      </c>
      <c r="K141" t="s">
        <v>264</v>
      </c>
      <c r="L141">
        <v>1339</v>
      </c>
      <c r="N141">
        <v>1007</v>
      </c>
      <c r="O141" t="s">
        <v>115</v>
      </c>
      <c r="P141" t="s">
        <v>115</v>
      </c>
      <c r="Q141">
        <v>1</v>
      </c>
      <c r="X141">
        <v>126</v>
      </c>
      <c r="Y141">
        <v>1910.98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F141" t="s">
        <v>3</v>
      </c>
      <c r="AG141">
        <v>126</v>
      </c>
      <c r="AH141">
        <v>2</v>
      </c>
      <c r="AI141">
        <v>37600290</v>
      </c>
      <c r="AJ141">
        <v>141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ROW(Source!A265)</f>
        <v>265</v>
      </c>
      <c r="B142">
        <v>37602494</v>
      </c>
      <c r="C142">
        <v>37600282</v>
      </c>
      <c r="D142">
        <v>34190363</v>
      </c>
      <c r="E142">
        <v>1</v>
      </c>
      <c r="F142">
        <v>1</v>
      </c>
      <c r="G142">
        <v>15</v>
      </c>
      <c r="H142">
        <v>3</v>
      </c>
      <c r="I142" t="s">
        <v>250</v>
      </c>
      <c r="J142" t="s">
        <v>251</v>
      </c>
      <c r="K142" t="s">
        <v>252</v>
      </c>
      <c r="L142">
        <v>1339</v>
      </c>
      <c r="N142">
        <v>1007</v>
      </c>
      <c r="O142" t="s">
        <v>115</v>
      </c>
      <c r="P142" t="s">
        <v>115</v>
      </c>
      <c r="Q142">
        <v>1</v>
      </c>
      <c r="X142">
        <v>7</v>
      </c>
      <c r="Y142">
        <v>28.77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7</v>
      </c>
      <c r="AH142">
        <v>2</v>
      </c>
      <c r="AI142">
        <v>37600291</v>
      </c>
      <c r="AJ142">
        <v>142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ROW(Source!A266)</f>
        <v>266</v>
      </c>
      <c r="B143">
        <v>37602495</v>
      </c>
      <c r="C143">
        <v>37600301</v>
      </c>
      <c r="D143">
        <v>34176775</v>
      </c>
      <c r="E143">
        <v>15</v>
      </c>
      <c r="F143">
        <v>1</v>
      </c>
      <c r="G143">
        <v>15</v>
      </c>
      <c r="H143">
        <v>1</v>
      </c>
      <c r="I143" t="s">
        <v>213</v>
      </c>
      <c r="J143" t="s">
        <v>3</v>
      </c>
      <c r="K143" t="s">
        <v>214</v>
      </c>
      <c r="L143">
        <v>1191</v>
      </c>
      <c r="N143">
        <v>1013</v>
      </c>
      <c r="O143" t="s">
        <v>215</v>
      </c>
      <c r="P143" t="s">
        <v>215</v>
      </c>
      <c r="Q143">
        <v>1</v>
      </c>
      <c r="X143">
        <v>13.57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1</v>
      </c>
      <c r="AF143" t="s">
        <v>3</v>
      </c>
      <c r="AG143">
        <v>13.57</v>
      </c>
      <c r="AH143">
        <v>2</v>
      </c>
      <c r="AI143">
        <v>37600302</v>
      </c>
      <c r="AJ143">
        <v>143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ROW(Source!A266)</f>
        <v>266</v>
      </c>
      <c r="B144">
        <v>37602496</v>
      </c>
      <c r="C144">
        <v>37600301</v>
      </c>
      <c r="D144">
        <v>34188316</v>
      </c>
      <c r="E144">
        <v>1</v>
      </c>
      <c r="F144">
        <v>1</v>
      </c>
      <c r="G144">
        <v>15</v>
      </c>
      <c r="H144">
        <v>2</v>
      </c>
      <c r="I144" t="s">
        <v>265</v>
      </c>
      <c r="J144" t="s">
        <v>266</v>
      </c>
      <c r="K144" t="s">
        <v>267</v>
      </c>
      <c r="L144">
        <v>1368</v>
      </c>
      <c r="N144">
        <v>1011</v>
      </c>
      <c r="O144" t="s">
        <v>219</v>
      </c>
      <c r="P144" t="s">
        <v>219</v>
      </c>
      <c r="Q144">
        <v>1</v>
      </c>
      <c r="X144">
        <v>0.46</v>
      </c>
      <c r="Y144">
        <v>0</v>
      </c>
      <c r="Z144">
        <v>628.07000000000005</v>
      </c>
      <c r="AA144">
        <v>377.51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0.46</v>
      </c>
      <c r="AH144">
        <v>2</v>
      </c>
      <c r="AI144">
        <v>37600303</v>
      </c>
      <c r="AJ144">
        <v>144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ROW(Source!A266)</f>
        <v>266</v>
      </c>
      <c r="B145">
        <v>37602497</v>
      </c>
      <c r="C145">
        <v>37600301</v>
      </c>
      <c r="D145">
        <v>34188315</v>
      </c>
      <c r="E145">
        <v>1</v>
      </c>
      <c r="F145">
        <v>1</v>
      </c>
      <c r="G145">
        <v>15</v>
      </c>
      <c r="H145">
        <v>2</v>
      </c>
      <c r="I145" t="s">
        <v>268</v>
      </c>
      <c r="J145" t="s">
        <v>269</v>
      </c>
      <c r="K145" t="s">
        <v>270</v>
      </c>
      <c r="L145">
        <v>1368</v>
      </c>
      <c r="N145">
        <v>1011</v>
      </c>
      <c r="O145" t="s">
        <v>219</v>
      </c>
      <c r="P145" t="s">
        <v>219</v>
      </c>
      <c r="Q145">
        <v>1</v>
      </c>
      <c r="X145">
        <v>1.39</v>
      </c>
      <c r="Y145">
        <v>0</v>
      </c>
      <c r="Z145">
        <v>681</v>
      </c>
      <c r="AA145">
        <v>389.98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1.39</v>
      </c>
      <c r="AH145">
        <v>2</v>
      </c>
      <c r="AI145">
        <v>37600304</v>
      </c>
      <c r="AJ145">
        <v>145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ROW(Source!A266)</f>
        <v>266</v>
      </c>
      <c r="B146">
        <v>37602498</v>
      </c>
      <c r="C146">
        <v>37600301</v>
      </c>
      <c r="D146">
        <v>34191424</v>
      </c>
      <c r="E146">
        <v>1</v>
      </c>
      <c r="F146">
        <v>1</v>
      </c>
      <c r="G146">
        <v>15</v>
      </c>
      <c r="H146">
        <v>3</v>
      </c>
      <c r="I146" t="s">
        <v>271</v>
      </c>
      <c r="J146" t="s">
        <v>272</v>
      </c>
      <c r="K146" t="s">
        <v>273</v>
      </c>
      <c r="L146">
        <v>1348</v>
      </c>
      <c r="N146">
        <v>1009</v>
      </c>
      <c r="O146" t="s">
        <v>29</v>
      </c>
      <c r="P146" t="s">
        <v>29</v>
      </c>
      <c r="Q146">
        <v>1000</v>
      </c>
      <c r="X146">
        <v>9.58</v>
      </c>
      <c r="Y146">
        <v>2314.4499999999998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54</v>
      </c>
      <c r="AG146">
        <v>11.975</v>
      </c>
      <c r="AH146">
        <v>2</v>
      </c>
      <c r="AI146">
        <v>37600305</v>
      </c>
      <c r="AJ146">
        <v>146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ROW(Source!A267)</f>
        <v>267</v>
      </c>
      <c r="B147">
        <v>37602499</v>
      </c>
      <c r="C147">
        <v>37600310</v>
      </c>
      <c r="D147">
        <v>34176775</v>
      </c>
      <c r="E147">
        <v>15</v>
      </c>
      <c r="F147">
        <v>1</v>
      </c>
      <c r="G147">
        <v>15</v>
      </c>
      <c r="H147">
        <v>1</v>
      </c>
      <c r="I147" t="s">
        <v>213</v>
      </c>
      <c r="J147" t="s">
        <v>3</v>
      </c>
      <c r="K147" t="s">
        <v>214</v>
      </c>
      <c r="L147">
        <v>1191</v>
      </c>
      <c r="N147">
        <v>1013</v>
      </c>
      <c r="O147" t="s">
        <v>215</v>
      </c>
      <c r="P147" t="s">
        <v>215</v>
      </c>
      <c r="Q147">
        <v>1</v>
      </c>
      <c r="X147">
        <v>18.440000000000001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1</v>
      </c>
      <c r="AF147" t="s">
        <v>3</v>
      </c>
      <c r="AG147">
        <v>18.440000000000001</v>
      </c>
      <c r="AH147">
        <v>2</v>
      </c>
      <c r="AI147">
        <v>37600311</v>
      </c>
      <c r="AJ147">
        <v>147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ROW(Source!A267)</f>
        <v>267</v>
      </c>
      <c r="B148">
        <v>37602500</v>
      </c>
      <c r="C148">
        <v>37600310</v>
      </c>
      <c r="D148">
        <v>34187808</v>
      </c>
      <c r="E148">
        <v>1</v>
      </c>
      <c r="F148">
        <v>1</v>
      </c>
      <c r="G148">
        <v>15</v>
      </c>
      <c r="H148">
        <v>2</v>
      </c>
      <c r="I148" t="s">
        <v>309</v>
      </c>
      <c r="J148" t="s">
        <v>310</v>
      </c>
      <c r="K148" t="s">
        <v>311</v>
      </c>
      <c r="L148">
        <v>1368</v>
      </c>
      <c r="N148">
        <v>1011</v>
      </c>
      <c r="O148" t="s">
        <v>219</v>
      </c>
      <c r="P148" t="s">
        <v>219</v>
      </c>
      <c r="Q148">
        <v>1</v>
      </c>
      <c r="X148">
        <v>2.64</v>
      </c>
      <c r="Y148">
        <v>0</v>
      </c>
      <c r="Z148">
        <v>401.44</v>
      </c>
      <c r="AA148">
        <v>272.81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2.64</v>
      </c>
      <c r="AH148">
        <v>2</v>
      </c>
      <c r="AI148">
        <v>37600312</v>
      </c>
      <c r="AJ148">
        <v>148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ROW(Source!A267)</f>
        <v>267</v>
      </c>
      <c r="B149">
        <v>37602501</v>
      </c>
      <c r="C149">
        <v>37600310</v>
      </c>
      <c r="D149">
        <v>34187761</v>
      </c>
      <c r="E149">
        <v>1</v>
      </c>
      <c r="F149">
        <v>1</v>
      </c>
      <c r="G149">
        <v>15</v>
      </c>
      <c r="H149">
        <v>2</v>
      </c>
      <c r="I149" t="s">
        <v>312</v>
      </c>
      <c r="J149" t="s">
        <v>313</v>
      </c>
      <c r="K149" t="s">
        <v>314</v>
      </c>
      <c r="L149">
        <v>1368</v>
      </c>
      <c r="N149">
        <v>1011</v>
      </c>
      <c r="O149" t="s">
        <v>219</v>
      </c>
      <c r="P149" t="s">
        <v>219</v>
      </c>
      <c r="Q149">
        <v>1</v>
      </c>
      <c r="X149">
        <v>1.18</v>
      </c>
      <c r="Y149">
        <v>0</v>
      </c>
      <c r="Z149">
        <v>6.05</v>
      </c>
      <c r="AA149">
        <v>0.71</v>
      </c>
      <c r="AB149">
        <v>0</v>
      </c>
      <c r="AC149">
        <v>0</v>
      </c>
      <c r="AD149">
        <v>1</v>
      </c>
      <c r="AE149">
        <v>0</v>
      </c>
      <c r="AF149" t="s">
        <v>3</v>
      </c>
      <c r="AG149">
        <v>1.18</v>
      </c>
      <c r="AH149">
        <v>2</v>
      </c>
      <c r="AI149">
        <v>37600313</v>
      </c>
      <c r="AJ149">
        <v>149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ROW(Source!A267)</f>
        <v>267</v>
      </c>
      <c r="B150">
        <v>37602502</v>
      </c>
      <c r="C150">
        <v>37600310</v>
      </c>
      <c r="D150">
        <v>34188395</v>
      </c>
      <c r="E150">
        <v>1</v>
      </c>
      <c r="F150">
        <v>1</v>
      </c>
      <c r="G150">
        <v>15</v>
      </c>
      <c r="H150">
        <v>2</v>
      </c>
      <c r="I150" t="s">
        <v>315</v>
      </c>
      <c r="J150" t="s">
        <v>316</v>
      </c>
      <c r="K150" t="s">
        <v>317</v>
      </c>
      <c r="L150">
        <v>1368</v>
      </c>
      <c r="N150">
        <v>1011</v>
      </c>
      <c r="O150" t="s">
        <v>219</v>
      </c>
      <c r="P150" t="s">
        <v>219</v>
      </c>
      <c r="Q150">
        <v>1</v>
      </c>
      <c r="X150">
        <v>0.01</v>
      </c>
      <c r="Y150">
        <v>0</v>
      </c>
      <c r="Z150">
        <v>482.71</v>
      </c>
      <c r="AA150">
        <v>373.38</v>
      </c>
      <c r="AB150">
        <v>0</v>
      </c>
      <c r="AC150">
        <v>0</v>
      </c>
      <c r="AD150">
        <v>1</v>
      </c>
      <c r="AE150">
        <v>0</v>
      </c>
      <c r="AF150" t="s">
        <v>3</v>
      </c>
      <c r="AG150">
        <v>0.01</v>
      </c>
      <c r="AH150">
        <v>2</v>
      </c>
      <c r="AI150">
        <v>37600314</v>
      </c>
      <c r="AJ150">
        <v>150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ROW(Source!A267)</f>
        <v>267</v>
      </c>
      <c r="B151">
        <v>37602503</v>
      </c>
      <c r="C151">
        <v>37600310</v>
      </c>
      <c r="D151">
        <v>34188225</v>
      </c>
      <c r="E151">
        <v>1</v>
      </c>
      <c r="F151">
        <v>1</v>
      </c>
      <c r="G151">
        <v>15</v>
      </c>
      <c r="H151">
        <v>2</v>
      </c>
      <c r="I151" t="s">
        <v>318</v>
      </c>
      <c r="J151" t="s">
        <v>319</v>
      </c>
      <c r="K151" t="s">
        <v>320</v>
      </c>
      <c r="L151">
        <v>1368</v>
      </c>
      <c r="N151">
        <v>1011</v>
      </c>
      <c r="O151" t="s">
        <v>219</v>
      </c>
      <c r="P151" t="s">
        <v>219</v>
      </c>
      <c r="Q151">
        <v>1</v>
      </c>
      <c r="X151">
        <v>2.64</v>
      </c>
      <c r="Y151">
        <v>0</v>
      </c>
      <c r="Z151">
        <v>342.24</v>
      </c>
      <c r="AA151">
        <v>296.26</v>
      </c>
      <c r="AB151">
        <v>0</v>
      </c>
      <c r="AC151">
        <v>0</v>
      </c>
      <c r="AD151">
        <v>1</v>
      </c>
      <c r="AE151">
        <v>0</v>
      </c>
      <c r="AF151" t="s">
        <v>3</v>
      </c>
      <c r="AG151">
        <v>2.64</v>
      </c>
      <c r="AH151">
        <v>2</v>
      </c>
      <c r="AI151">
        <v>37600315</v>
      </c>
      <c r="AJ151">
        <v>151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ROW(Source!A267)</f>
        <v>267</v>
      </c>
      <c r="B152">
        <v>37602504</v>
      </c>
      <c r="C152">
        <v>37600310</v>
      </c>
      <c r="D152">
        <v>34190584</v>
      </c>
      <c r="E152">
        <v>1</v>
      </c>
      <c r="F152">
        <v>1</v>
      </c>
      <c r="G152">
        <v>15</v>
      </c>
      <c r="H152">
        <v>3</v>
      </c>
      <c r="I152" t="s">
        <v>321</v>
      </c>
      <c r="J152" t="s">
        <v>322</v>
      </c>
      <c r="K152" t="s">
        <v>323</v>
      </c>
      <c r="L152">
        <v>1327</v>
      </c>
      <c r="N152">
        <v>1005</v>
      </c>
      <c r="O152" t="s">
        <v>176</v>
      </c>
      <c r="P152" t="s">
        <v>176</v>
      </c>
      <c r="Q152">
        <v>1</v>
      </c>
      <c r="X152">
        <v>5.6</v>
      </c>
      <c r="Y152">
        <v>12.61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5.6</v>
      </c>
      <c r="AH152">
        <v>2</v>
      </c>
      <c r="AI152">
        <v>37600316</v>
      </c>
      <c r="AJ152">
        <v>152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ROW(Source!A267)</f>
        <v>267</v>
      </c>
      <c r="B153">
        <v>37602505</v>
      </c>
      <c r="C153">
        <v>37600310</v>
      </c>
      <c r="D153">
        <v>34190671</v>
      </c>
      <c r="E153">
        <v>1</v>
      </c>
      <c r="F153">
        <v>1</v>
      </c>
      <c r="G153">
        <v>15</v>
      </c>
      <c r="H153">
        <v>3</v>
      </c>
      <c r="I153" t="s">
        <v>324</v>
      </c>
      <c r="J153" t="s">
        <v>325</v>
      </c>
      <c r="K153" t="s">
        <v>326</v>
      </c>
      <c r="L153">
        <v>1348</v>
      </c>
      <c r="N153">
        <v>1009</v>
      </c>
      <c r="O153" t="s">
        <v>29</v>
      </c>
      <c r="P153" t="s">
        <v>29</v>
      </c>
      <c r="Q153">
        <v>1000</v>
      </c>
      <c r="X153">
        <v>3.15E-3</v>
      </c>
      <c r="Y153">
        <v>100975.39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3</v>
      </c>
      <c r="AG153">
        <v>3.15E-3</v>
      </c>
      <c r="AH153">
        <v>2</v>
      </c>
      <c r="AI153">
        <v>37600317</v>
      </c>
      <c r="AJ153">
        <v>153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ROW(Source!A267)</f>
        <v>267</v>
      </c>
      <c r="B154">
        <v>37602506</v>
      </c>
      <c r="C154">
        <v>37600310</v>
      </c>
      <c r="D154">
        <v>34190888</v>
      </c>
      <c r="E154">
        <v>1</v>
      </c>
      <c r="F154">
        <v>1</v>
      </c>
      <c r="G154">
        <v>15</v>
      </c>
      <c r="H154">
        <v>3</v>
      </c>
      <c r="I154" t="s">
        <v>327</v>
      </c>
      <c r="J154" t="s">
        <v>328</v>
      </c>
      <c r="K154" t="s">
        <v>329</v>
      </c>
      <c r="L154">
        <v>1346</v>
      </c>
      <c r="N154">
        <v>1009</v>
      </c>
      <c r="O154" t="s">
        <v>330</v>
      </c>
      <c r="P154" t="s">
        <v>330</v>
      </c>
      <c r="Q154">
        <v>1</v>
      </c>
      <c r="X154">
        <v>735</v>
      </c>
      <c r="Y154">
        <v>20.03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F154" t="s">
        <v>3</v>
      </c>
      <c r="AG154">
        <v>735</v>
      </c>
      <c r="AH154">
        <v>2</v>
      </c>
      <c r="AI154">
        <v>37600318</v>
      </c>
      <c r="AJ154">
        <v>154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ROW(Source!A267)</f>
        <v>267</v>
      </c>
      <c r="B155">
        <v>37602507</v>
      </c>
      <c r="C155">
        <v>37600310</v>
      </c>
      <c r="D155">
        <v>34190895</v>
      </c>
      <c r="E155">
        <v>1</v>
      </c>
      <c r="F155">
        <v>1</v>
      </c>
      <c r="G155">
        <v>15</v>
      </c>
      <c r="H155">
        <v>3</v>
      </c>
      <c r="I155" t="s">
        <v>331</v>
      </c>
      <c r="J155" t="s">
        <v>332</v>
      </c>
      <c r="K155" t="s">
        <v>333</v>
      </c>
      <c r="L155">
        <v>1346</v>
      </c>
      <c r="N155">
        <v>1009</v>
      </c>
      <c r="O155" t="s">
        <v>330</v>
      </c>
      <c r="P155" t="s">
        <v>330</v>
      </c>
      <c r="Q155">
        <v>1</v>
      </c>
      <c r="X155">
        <v>241.5</v>
      </c>
      <c r="Y155">
        <v>175.18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241.5</v>
      </c>
      <c r="AH155">
        <v>2</v>
      </c>
      <c r="AI155">
        <v>37600319</v>
      </c>
      <c r="AJ155">
        <v>155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ROW(Source!A267)</f>
        <v>267</v>
      </c>
      <c r="B156">
        <v>37602508</v>
      </c>
      <c r="C156">
        <v>37600310</v>
      </c>
      <c r="D156">
        <v>34188917</v>
      </c>
      <c r="E156">
        <v>1</v>
      </c>
      <c r="F156">
        <v>1</v>
      </c>
      <c r="G156">
        <v>15</v>
      </c>
      <c r="H156">
        <v>3</v>
      </c>
      <c r="I156" t="s">
        <v>334</v>
      </c>
      <c r="J156" t="s">
        <v>335</v>
      </c>
      <c r="K156" t="s">
        <v>336</v>
      </c>
      <c r="L156">
        <v>1348</v>
      </c>
      <c r="N156">
        <v>1009</v>
      </c>
      <c r="O156" t="s">
        <v>29</v>
      </c>
      <c r="P156" t="s">
        <v>29</v>
      </c>
      <c r="Q156">
        <v>1000</v>
      </c>
      <c r="X156">
        <v>5.2499999999999998E-2</v>
      </c>
      <c r="Y156">
        <v>360260.32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3</v>
      </c>
      <c r="AG156">
        <v>5.2499999999999998E-2</v>
      </c>
      <c r="AH156">
        <v>2</v>
      </c>
      <c r="AI156">
        <v>37600320</v>
      </c>
      <c r="AJ156">
        <v>156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ROW(Source!A268)</f>
        <v>268</v>
      </c>
      <c r="B157">
        <v>37602509</v>
      </c>
      <c r="C157">
        <v>37600331</v>
      </c>
      <c r="D157">
        <v>34176775</v>
      </c>
      <c r="E157">
        <v>15</v>
      </c>
      <c r="F157">
        <v>1</v>
      </c>
      <c r="G157">
        <v>15</v>
      </c>
      <c r="H157">
        <v>1</v>
      </c>
      <c r="I157" t="s">
        <v>213</v>
      </c>
      <c r="J157" t="s">
        <v>3</v>
      </c>
      <c r="K157" t="s">
        <v>214</v>
      </c>
      <c r="L157">
        <v>1191</v>
      </c>
      <c r="N157">
        <v>1013</v>
      </c>
      <c r="O157" t="s">
        <v>215</v>
      </c>
      <c r="P157" t="s">
        <v>215</v>
      </c>
      <c r="Q157">
        <v>1</v>
      </c>
      <c r="X157">
        <v>2.65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1</v>
      </c>
      <c r="AF157" t="s">
        <v>3</v>
      </c>
      <c r="AG157">
        <v>2.65</v>
      </c>
      <c r="AH157">
        <v>2</v>
      </c>
      <c r="AI157">
        <v>37600332</v>
      </c>
      <c r="AJ157">
        <v>157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ROW(Source!A268)</f>
        <v>268</v>
      </c>
      <c r="B158">
        <v>37602510</v>
      </c>
      <c r="C158">
        <v>37600331</v>
      </c>
      <c r="D158">
        <v>34187808</v>
      </c>
      <c r="E158">
        <v>1</v>
      </c>
      <c r="F158">
        <v>1</v>
      </c>
      <c r="G158">
        <v>15</v>
      </c>
      <c r="H158">
        <v>2</v>
      </c>
      <c r="I158" t="s">
        <v>309</v>
      </c>
      <c r="J158" t="s">
        <v>310</v>
      </c>
      <c r="K158" t="s">
        <v>311</v>
      </c>
      <c r="L158">
        <v>1368</v>
      </c>
      <c r="N158">
        <v>1011</v>
      </c>
      <c r="O158" t="s">
        <v>219</v>
      </c>
      <c r="P158" t="s">
        <v>219</v>
      </c>
      <c r="Q158">
        <v>1</v>
      </c>
      <c r="X158">
        <v>0.5</v>
      </c>
      <c r="Y158">
        <v>0</v>
      </c>
      <c r="Z158">
        <v>401.44</v>
      </c>
      <c r="AA158">
        <v>272.81</v>
      </c>
      <c r="AB158">
        <v>0</v>
      </c>
      <c r="AC158">
        <v>0</v>
      </c>
      <c r="AD158">
        <v>1</v>
      </c>
      <c r="AE158">
        <v>0</v>
      </c>
      <c r="AF158" t="s">
        <v>3</v>
      </c>
      <c r="AG158">
        <v>0.5</v>
      </c>
      <c r="AH158">
        <v>2</v>
      </c>
      <c r="AI158">
        <v>37600333</v>
      </c>
      <c r="AJ158">
        <v>158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ROW(Source!A268)</f>
        <v>268</v>
      </c>
      <c r="B159">
        <v>37602511</v>
      </c>
      <c r="C159">
        <v>37600331</v>
      </c>
      <c r="D159">
        <v>34188225</v>
      </c>
      <c r="E159">
        <v>1</v>
      </c>
      <c r="F159">
        <v>1</v>
      </c>
      <c r="G159">
        <v>15</v>
      </c>
      <c r="H159">
        <v>2</v>
      </c>
      <c r="I159" t="s">
        <v>318</v>
      </c>
      <c r="J159" t="s">
        <v>319</v>
      </c>
      <c r="K159" t="s">
        <v>320</v>
      </c>
      <c r="L159">
        <v>1368</v>
      </c>
      <c r="N159">
        <v>1011</v>
      </c>
      <c r="O159" t="s">
        <v>219</v>
      </c>
      <c r="P159" t="s">
        <v>219</v>
      </c>
      <c r="Q159">
        <v>1</v>
      </c>
      <c r="X159">
        <v>0.5</v>
      </c>
      <c r="Y159">
        <v>0</v>
      </c>
      <c r="Z159">
        <v>342.24</v>
      </c>
      <c r="AA159">
        <v>296.26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0.5</v>
      </c>
      <c r="AH159">
        <v>2</v>
      </c>
      <c r="AI159">
        <v>37600334</v>
      </c>
      <c r="AJ159">
        <v>159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ROW(Source!A268)</f>
        <v>268</v>
      </c>
      <c r="B160">
        <v>37602512</v>
      </c>
      <c r="C160">
        <v>37600331</v>
      </c>
      <c r="D160">
        <v>34190888</v>
      </c>
      <c r="E160">
        <v>1</v>
      </c>
      <c r="F160">
        <v>1</v>
      </c>
      <c r="G160">
        <v>15</v>
      </c>
      <c r="H160">
        <v>3</v>
      </c>
      <c r="I160" t="s">
        <v>327</v>
      </c>
      <c r="J160" t="s">
        <v>328</v>
      </c>
      <c r="K160" t="s">
        <v>329</v>
      </c>
      <c r="L160">
        <v>1346</v>
      </c>
      <c r="N160">
        <v>1009</v>
      </c>
      <c r="O160" t="s">
        <v>330</v>
      </c>
      <c r="P160" t="s">
        <v>330</v>
      </c>
      <c r="Q160">
        <v>1</v>
      </c>
      <c r="X160">
        <v>147</v>
      </c>
      <c r="Y160">
        <v>20.03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147</v>
      </c>
      <c r="AH160">
        <v>2</v>
      </c>
      <c r="AI160">
        <v>37600335</v>
      </c>
      <c r="AJ160">
        <v>160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ROW(Source!A268)</f>
        <v>268</v>
      </c>
      <c r="B161">
        <v>37602513</v>
      </c>
      <c r="C161">
        <v>37600331</v>
      </c>
      <c r="D161">
        <v>34190895</v>
      </c>
      <c r="E161">
        <v>1</v>
      </c>
      <c r="F161">
        <v>1</v>
      </c>
      <c r="G161">
        <v>15</v>
      </c>
      <c r="H161">
        <v>3</v>
      </c>
      <c r="I161" t="s">
        <v>331</v>
      </c>
      <c r="J161" t="s">
        <v>332</v>
      </c>
      <c r="K161" t="s">
        <v>333</v>
      </c>
      <c r="L161">
        <v>1346</v>
      </c>
      <c r="N161">
        <v>1009</v>
      </c>
      <c r="O161" t="s">
        <v>330</v>
      </c>
      <c r="P161" t="s">
        <v>330</v>
      </c>
      <c r="Q161">
        <v>1</v>
      </c>
      <c r="X161">
        <v>42</v>
      </c>
      <c r="Y161">
        <v>175.18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42</v>
      </c>
      <c r="AH161">
        <v>2</v>
      </c>
      <c r="AI161">
        <v>37600336</v>
      </c>
      <c r="AJ161">
        <v>161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ROW(Source!A268)</f>
        <v>268</v>
      </c>
      <c r="B162">
        <v>37602514</v>
      </c>
      <c r="C162">
        <v>37600331</v>
      </c>
      <c r="D162">
        <v>34188917</v>
      </c>
      <c r="E162">
        <v>1</v>
      </c>
      <c r="F162">
        <v>1</v>
      </c>
      <c r="G162">
        <v>15</v>
      </c>
      <c r="H162">
        <v>3</v>
      </c>
      <c r="I162" t="s">
        <v>334</v>
      </c>
      <c r="J162" t="s">
        <v>335</v>
      </c>
      <c r="K162" t="s">
        <v>336</v>
      </c>
      <c r="L162">
        <v>1348</v>
      </c>
      <c r="N162">
        <v>1009</v>
      </c>
      <c r="O162" t="s">
        <v>29</v>
      </c>
      <c r="P162" t="s">
        <v>29</v>
      </c>
      <c r="Q162">
        <v>1000</v>
      </c>
      <c r="X162">
        <v>1.0500000000000001E-2</v>
      </c>
      <c r="Y162">
        <v>360260.32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1.0500000000000001E-2</v>
      </c>
      <c r="AH162">
        <v>2</v>
      </c>
      <c r="AI162">
        <v>37600337</v>
      </c>
      <c r="AJ162">
        <v>162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ROW(Source!A269)</f>
        <v>269</v>
      </c>
      <c r="B163">
        <v>37602515</v>
      </c>
      <c r="C163">
        <v>37600344</v>
      </c>
      <c r="D163">
        <v>34176775</v>
      </c>
      <c r="E163">
        <v>15</v>
      </c>
      <c r="F163">
        <v>1</v>
      </c>
      <c r="G163">
        <v>15</v>
      </c>
      <c r="H163">
        <v>1</v>
      </c>
      <c r="I163" t="s">
        <v>213</v>
      </c>
      <c r="J163" t="s">
        <v>3</v>
      </c>
      <c r="K163" t="s">
        <v>214</v>
      </c>
      <c r="L163">
        <v>1191</v>
      </c>
      <c r="N163">
        <v>1013</v>
      </c>
      <c r="O163" t="s">
        <v>215</v>
      </c>
      <c r="P163" t="s">
        <v>215</v>
      </c>
      <c r="Q163">
        <v>1</v>
      </c>
      <c r="X163">
        <v>0.06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1</v>
      </c>
      <c r="AF163" t="s">
        <v>3</v>
      </c>
      <c r="AG163">
        <v>0.06</v>
      </c>
      <c r="AH163">
        <v>2</v>
      </c>
      <c r="AI163">
        <v>37600345</v>
      </c>
      <c r="AJ163">
        <v>163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ROW(Source!A269)</f>
        <v>269</v>
      </c>
      <c r="B164">
        <v>37602516</v>
      </c>
      <c r="C164">
        <v>37600344</v>
      </c>
      <c r="D164">
        <v>34188259</v>
      </c>
      <c r="E164">
        <v>1</v>
      </c>
      <c r="F164">
        <v>1</v>
      </c>
      <c r="G164">
        <v>15</v>
      </c>
      <c r="H164">
        <v>2</v>
      </c>
      <c r="I164" t="s">
        <v>337</v>
      </c>
      <c r="J164" t="s">
        <v>338</v>
      </c>
      <c r="K164" t="s">
        <v>339</v>
      </c>
      <c r="L164">
        <v>1368</v>
      </c>
      <c r="N164">
        <v>1011</v>
      </c>
      <c r="O164" t="s">
        <v>219</v>
      </c>
      <c r="P164" t="s">
        <v>219</v>
      </c>
      <c r="Q164">
        <v>1</v>
      </c>
      <c r="X164">
        <v>0.01</v>
      </c>
      <c r="Y164">
        <v>0</v>
      </c>
      <c r="Z164">
        <v>1756.99</v>
      </c>
      <c r="AA164">
        <v>313.11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0.01</v>
      </c>
      <c r="AH164">
        <v>2</v>
      </c>
      <c r="AI164">
        <v>37600346</v>
      </c>
      <c r="AJ164">
        <v>164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ROW(Source!A269)</f>
        <v>269</v>
      </c>
      <c r="B165">
        <v>37602517</v>
      </c>
      <c r="C165">
        <v>37600344</v>
      </c>
      <c r="D165">
        <v>34189010</v>
      </c>
      <c r="E165">
        <v>1</v>
      </c>
      <c r="F165">
        <v>1</v>
      </c>
      <c r="G165">
        <v>15</v>
      </c>
      <c r="H165">
        <v>3</v>
      </c>
      <c r="I165" t="s">
        <v>340</v>
      </c>
      <c r="J165" t="s">
        <v>341</v>
      </c>
      <c r="K165" t="s">
        <v>342</v>
      </c>
      <c r="L165">
        <v>1348</v>
      </c>
      <c r="N165">
        <v>1009</v>
      </c>
      <c r="O165" t="s">
        <v>29</v>
      </c>
      <c r="P165" t="s">
        <v>29</v>
      </c>
      <c r="Q165">
        <v>1000</v>
      </c>
      <c r="X165">
        <v>5.2999999999999998E-4</v>
      </c>
      <c r="Y165">
        <v>84127.039999999994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F165" t="s">
        <v>3</v>
      </c>
      <c r="AG165">
        <v>5.2999999999999998E-4</v>
      </c>
      <c r="AH165">
        <v>2</v>
      </c>
      <c r="AI165">
        <v>37600347</v>
      </c>
      <c r="AJ165">
        <v>165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ROW(Source!A304)</f>
        <v>304</v>
      </c>
      <c r="B166">
        <v>37602518</v>
      </c>
      <c r="C166">
        <v>37600351</v>
      </c>
      <c r="D166">
        <v>34176775</v>
      </c>
      <c r="E166">
        <v>15</v>
      </c>
      <c r="F166">
        <v>1</v>
      </c>
      <c r="G166">
        <v>15</v>
      </c>
      <c r="H166">
        <v>1</v>
      </c>
      <c r="I166" t="s">
        <v>213</v>
      </c>
      <c r="J166" t="s">
        <v>3</v>
      </c>
      <c r="K166" t="s">
        <v>214</v>
      </c>
      <c r="L166">
        <v>1191</v>
      </c>
      <c r="N166">
        <v>1013</v>
      </c>
      <c r="O166" t="s">
        <v>215</v>
      </c>
      <c r="P166" t="s">
        <v>215</v>
      </c>
      <c r="Q166">
        <v>1</v>
      </c>
      <c r="X166">
        <v>1.05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1</v>
      </c>
      <c r="AF166" t="s">
        <v>3</v>
      </c>
      <c r="AG166">
        <v>1.05</v>
      </c>
      <c r="AH166">
        <v>2</v>
      </c>
      <c r="AI166">
        <v>37600352</v>
      </c>
      <c r="AJ166">
        <v>166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ROW(Source!A304)</f>
        <v>304</v>
      </c>
      <c r="B167">
        <v>37602519</v>
      </c>
      <c r="C167">
        <v>37600351</v>
      </c>
      <c r="D167">
        <v>34188481</v>
      </c>
      <c r="E167">
        <v>1</v>
      </c>
      <c r="F167">
        <v>1</v>
      </c>
      <c r="G167">
        <v>15</v>
      </c>
      <c r="H167">
        <v>2</v>
      </c>
      <c r="I167" t="s">
        <v>274</v>
      </c>
      <c r="J167" t="s">
        <v>275</v>
      </c>
      <c r="K167" t="s">
        <v>276</v>
      </c>
      <c r="L167">
        <v>1368</v>
      </c>
      <c r="N167">
        <v>1011</v>
      </c>
      <c r="O167" t="s">
        <v>219</v>
      </c>
      <c r="P167" t="s">
        <v>219</v>
      </c>
      <c r="Q167">
        <v>1</v>
      </c>
      <c r="X167">
        <v>0.82</v>
      </c>
      <c r="Y167">
        <v>0</v>
      </c>
      <c r="Z167">
        <v>770.83</v>
      </c>
      <c r="AA167">
        <v>421.3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0.82</v>
      </c>
      <c r="AH167">
        <v>2</v>
      </c>
      <c r="AI167">
        <v>37600353</v>
      </c>
      <c r="AJ167">
        <v>167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ROW(Source!A304)</f>
        <v>304</v>
      </c>
      <c r="B168">
        <v>37602520</v>
      </c>
      <c r="C168">
        <v>37600351</v>
      </c>
      <c r="D168">
        <v>34188505</v>
      </c>
      <c r="E168">
        <v>1</v>
      </c>
      <c r="F168">
        <v>1</v>
      </c>
      <c r="G168">
        <v>15</v>
      </c>
      <c r="H168">
        <v>2</v>
      </c>
      <c r="I168" t="s">
        <v>277</v>
      </c>
      <c r="J168" t="s">
        <v>278</v>
      </c>
      <c r="K168" t="s">
        <v>279</v>
      </c>
      <c r="L168">
        <v>1368</v>
      </c>
      <c r="N168">
        <v>1011</v>
      </c>
      <c r="O168" t="s">
        <v>219</v>
      </c>
      <c r="P168" t="s">
        <v>219</v>
      </c>
      <c r="Q168">
        <v>1</v>
      </c>
      <c r="X168">
        <v>3.54</v>
      </c>
      <c r="Y168">
        <v>0</v>
      </c>
      <c r="Z168">
        <v>1217.8599999999999</v>
      </c>
      <c r="AA168">
        <v>470.88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3.54</v>
      </c>
      <c r="AH168">
        <v>2</v>
      </c>
      <c r="AI168">
        <v>37600354</v>
      </c>
      <c r="AJ168">
        <v>168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ROW(Source!A305)</f>
        <v>305</v>
      </c>
      <c r="B169">
        <v>37602521</v>
      </c>
      <c r="C169">
        <v>37600358</v>
      </c>
      <c r="D169">
        <v>34187830</v>
      </c>
      <c r="E169">
        <v>1</v>
      </c>
      <c r="F169">
        <v>1</v>
      </c>
      <c r="G169">
        <v>15</v>
      </c>
      <c r="H169">
        <v>2</v>
      </c>
      <c r="I169" t="s">
        <v>235</v>
      </c>
      <c r="J169" t="s">
        <v>236</v>
      </c>
      <c r="K169" t="s">
        <v>237</v>
      </c>
      <c r="L169">
        <v>1368</v>
      </c>
      <c r="N169">
        <v>1011</v>
      </c>
      <c r="O169" t="s">
        <v>219</v>
      </c>
      <c r="P169" t="s">
        <v>219</v>
      </c>
      <c r="Q169">
        <v>1</v>
      </c>
      <c r="X169">
        <v>3.1E-2</v>
      </c>
      <c r="Y169">
        <v>0</v>
      </c>
      <c r="Z169">
        <v>939.75</v>
      </c>
      <c r="AA169">
        <v>473.4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3.1E-2</v>
      </c>
      <c r="AH169">
        <v>2</v>
      </c>
      <c r="AI169">
        <v>37600359</v>
      </c>
      <c r="AJ169">
        <v>169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ROW(Source!A306)</f>
        <v>306</v>
      </c>
      <c r="B170">
        <v>37602522</v>
      </c>
      <c r="C170">
        <v>37600361</v>
      </c>
      <c r="D170">
        <v>34187830</v>
      </c>
      <c r="E170">
        <v>1</v>
      </c>
      <c r="F170">
        <v>1</v>
      </c>
      <c r="G170">
        <v>15</v>
      </c>
      <c r="H170">
        <v>2</v>
      </c>
      <c r="I170" t="s">
        <v>235</v>
      </c>
      <c r="J170" t="s">
        <v>236</v>
      </c>
      <c r="K170" t="s">
        <v>237</v>
      </c>
      <c r="L170">
        <v>1368</v>
      </c>
      <c r="N170">
        <v>1011</v>
      </c>
      <c r="O170" t="s">
        <v>219</v>
      </c>
      <c r="P170" t="s">
        <v>219</v>
      </c>
      <c r="Q170">
        <v>1</v>
      </c>
      <c r="X170">
        <v>0.01</v>
      </c>
      <c r="Y170">
        <v>0</v>
      </c>
      <c r="Z170">
        <v>939.75</v>
      </c>
      <c r="AA170">
        <v>473.4</v>
      </c>
      <c r="AB170">
        <v>0</v>
      </c>
      <c r="AC170">
        <v>0</v>
      </c>
      <c r="AD170">
        <v>1</v>
      </c>
      <c r="AE170">
        <v>0</v>
      </c>
      <c r="AF170" t="s">
        <v>121</v>
      </c>
      <c r="AG170">
        <v>0.26</v>
      </c>
      <c r="AH170">
        <v>2</v>
      </c>
      <c r="AI170">
        <v>37600362</v>
      </c>
      <c r="AJ170">
        <v>170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ROW(Source!A307)</f>
        <v>307</v>
      </c>
      <c r="B171">
        <v>37602523</v>
      </c>
      <c r="C171">
        <v>37600364</v>
      </c>
      <c r="D171">
        <v>34176775</v>
      </c>
      <c r="E171">
        <v>15</v>
      </c>
      <c r="F171">
        <v>1</v>
      </c>
      <c r="G171">
        <v>15</v>
      </c>
      <c r="H171">
        <v>1</v>
      </c>
      <c r="I171" t="s">
        <v>213</v>
      </c>
      <c r="J171" t="s">
        <v>3</v>
      </c>
      <c r="K171" t="s">
        <v>214</v>
      </c>
      <c r="L171">
        <v>1191</v>
      </c>
      <c r="N171">
        <v>1013</v>
      </c>
      <c r="O171" t="s">
        <v>215</v>
      </c>
      <c r="P171" t="s">
        <v>215</v>
      </c>
      <c r="Q171">
        <v>1</v>
      </c>
      <c r="X171">
        <v>16.559999999999999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1</v>
      </c>
      <c r="AF171" t="s">
        <v>3</v>
      </c>
      <c r="AG171">
        <v>16.559999999999999</v>
      </c>
      <c r="AH171">
        <v>2</v>
      </c>
      <c r="AI171">
        <v>37600365</v>
      </c>
      <c r="AJ171">
        <v>171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ROW(Source!A307)</f>
        <v>307</v>
      </c>
      <c r="B172">
        <v>37602524</v>
      </c>
      <c r="C172">
        <v>37600364</v>
      </c>
      <c r="D172">
        <v>34188463</v>
      </c>
      <c r="E172">
        <v>1</v>
      </c>
      <c r="F172">
        <v>1</v>
      </c>
      <c r="G172">
        <v>15</v>
      </c>
      <c r="H172">
        <v>2</v>
      </c>
      <c r="I172" t="s">
        <v>226</v>
      </c>
      <c r="J172" t="s">
        <v>227</v>
      </c>
      <c r="K172" t="s">
        <v>228</v>
      </c>
      <c r="L172">
        <v>1368</v>
      </c>
      <c r="N172">
        <v>1011</v>
      </c>
      <c r="O172" t="s">
        <v>219</v>
      </c>
      <c r="P172" t="s">
        <v>219</v>
      </c>
      <c r="Q172">
        <v>1</v>
      </c>
      <c r="X172">
        <v>2.08</v>
      </c>
      <c r="Y172">
        <v>0</v>
      </c>
      <c r="Z172">
        <v>936.41</v>
      </c>
      <c r="AA172">
        <v>403.45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2.08</v>
      </c>
      <c r="AH172">
        <v>2</v>
      </c>
      <c r="AI172">
        <v>37600366</v>
      </c>
      <c r="AJ172">
        <v>172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ROW(Source!A307)</f>
        <v>307</v>
      </c>
      <c r="B173">
        <v>37602525</v>
      </c>
      <c r="C173">
        <v>37600364</v>
      </c>
      <c r="D173">
        <v>34188306</v>
      </c>
      <c r="E173">
        <v>1</v>
      </c>
      <c r="F173">
        <v>1</v>
      </c>
      <c r="G173">
        <v>15</v>
      </c>
      <c r="H173">
        <v>2</v>
      </c>
      <c r="I173" t="s">
        <v>238</v>
      </c>
      <c r="J173" t="s">
        <v>239</v>
      </c>
      <c r="K173" t="s">
        <v>240</v>
      </c>
      <c r="L173">
        <v>1368</v>
      </c>
      <c r="N173">
        <v>1011</v>
      </c>
      <c r="O173" t="s">
        <v>219</v>
      </c>
      <c r="P173" t="s">
        <v>219</v>
      </c>
      <c r="Q173">
        <v>1</v>
      </c>
      <c r="X173">
        <v>2.08</v>
      </c>
      <c r="Y173">
        <v>0</v>
      </c>
      <c r="Z173">
        <v>354.92</v>
      </c>
      <c r="AA173">
        <v>157.22999999999999</v>
      </c>
      <c r="AB173">
        <v>0</v>
      </c>
      <c r="AC173">
        <v>0</v>
      </c>
      <c r="AD173">
        <v>1</v>
      </c>
      <c r="AE173">
        <v>0</v>
      </c>
      <c r="AF173" t="s">
        <v>3</v>
      </c>
      <c r="AG173">
        <v>2.08</v>
      </c>
      <c r="AH173">
        <v>2</v>
      </c>
      <c r="AI173">
        <v>37600367</v>
      </c>
      <c r="AJ173">
        <v>173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ROW(Source!A307)</f>
        <v>307</v>
      </c>
      <c r="B174">
        <v>37602526</v>
      </c>
      <c r="C174">
        <v>37600364</v>
      </c>
      <c r="D174">
        <v>34188303</v>
      </c>
      <c r="E174">
        <v>1</v>
      </c>
      <c r="F174">
        <v>1</v>
      </c>
      <c r="G174">
        <v>15</v>
      </c>
      <c r="H174">
        <v>2</v>
      </c>
      <c r="I174" t="s">
        <v>241</v>
      </c>
      <c r="J174" t="s">
        <v>242</v>
      </c>
      <c r="K174" t="s">
        <v>243</v>
      </c>
      <c r="L174">
        <v>1368</v>
      </c>
      <c r="N174">
        <v>1011</v>
      </c>
      <c r="O174" t="s">
        <v>219</v>
      </c>
      <c r="P174" t="s">
        <v>219</v>
      </c>
      <c r="Q174">
        <v>1</v>
      </c>
      <c r="X174">
        <v>0.81</v>
      </c>
      <c r="Y174">
        <v>0</v>
      </c>
      <c r="Z174">
        <v>1527.34</v>
      </c>
      <c r="AA174">
        <v>334.88</v>
      </c>
      <c r="AB174">
        <v>0</v>
      </c>
      <c r="AC174">
        <v>0</v>
      </c>
      <c r="AD174">
        <v>1</v>
      </c>
      <c r="AE174">
        <v>0</v>
      </c>
      <c r="AF174" t="s">
        <v>3</v>
      </c>
      <c r="AG174">
        <v>0.81</v>
      </c>
      <c r="AH174">
        <v>2</v>
      </c>
      <c r="AI174">
        <v>37600368</v>
      </c>
      <c r="AJ174">
        <v>174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ROW(Source!A307)</f>
        <v>307</v>
      </c>
      <c r="B175">
        <v>37602527</v>
      </c>
      <c r="C175">
        <v>37600364</v>
      </c>
      <c r="D175">
        <v>34188265</v>
      </c>
      <c r="E175">
        <v>1</v>
      </c>
      <c r="F175">
        <v>1</v>
      </c>
      <c r="G175">
        <v>15</v>
      </c>
      <c r="H175">
        <v>2</v>
      </c>
      <c r="I175" t="s">
        <v>223</v>
      </c>
      <c r="J175" t="s">
        <v>224</v>
      </c>
      <c r="K175" t="s">
        <v>225</v>
      </c>
      <c r="L175">
        <v>1368</v>
      </c>
      <c r="N175">
        <v>1011</v>
      </c>
      <c r="O175" t="s">
        <v>219</v>
      </c>
      <c r="P175" t="s">
        <v>219</v>
      </c>
      <c r="Q175">
        <v>1</v>
      </c>
      <c r="X175">
        <v>1.94</v>
      </c>
      <c r="Y175">
        <v>0</v>
      </c>
      <c r="Z175">
        <v>1142.6300000000001</v>
      </c>
      <c r="AA175">
        <v>468.35</v>
      </c>
      <c r="AB175">
        <v>0</v>
      </c>
      <c r="AC175">
        <v>0</v>
      </c>
      <c r="AD175">
        <v>1</v>
      </c>
      <c r="AE175">
        <v>0</v>
      </c>
      <c r="AF175" t="s">
        <v>3</v>
      </c>
      <c r="AG175">
        <v>1.94</v>
      </c>
      <c r="AH175">
        <v>2</v>
      </c>
      <c r="AI175">
        <v>37600369</v>
      </c>
      <c r="AJ175">
        <v>175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ROW(Source!A307)</f>
        <v>307</v>
      </c>
      <c r="B176">
        <v>37602528</v>
      </c>
      <c r="C176">
        <v>37600364</v>
      </c>
      <c r="D176">
        <v>34188313</v>
      </c>
      <c r="E176">
        <v>1</v>
      </c>
      <c r="F176">
        <v>1</v>
      </c>
      <c r="G176">
        <v>15</v>
      </c>
      <c r="H176">
        <v>2</v>
      </c>
      <c r="I176" t="s">
        <v>244</v>
      </c>
      <c r="J176" t="s">
        <v>245</v>
      </c>
      <c r="K176" t="s">
        <v>246</v>
      </c>
      <c r="L176">
        <v>1368</v>
      </c>
      <c r="N176">
        <v>1011</v>
      </c>
      <c r="O176" t="s">
        <v>219</v>
      </c>
      <c r="P176" t="s">
        <v>219</v>
      </c>
      <c r="Q176">
        <v>1</v>
      </c>
      <c r="X176">
        <v>0.65</v>
      </c>
      <c r="Y176">
        <v>0</v>
      </c>
      <c r="Z176">
        <v>1590.37</v>
      </c>
      <c r="AA176">
        <v>497.81</v>
      </c>
      <c r="AB176">
        <v>0</v>
      </c>
      <c r="AC176">
        <v>0</v>
      </c>
      <c r="AD176">
        <v>1</v>
      </c>
      <c r="AE176">
        <v>0</v>
      </c>
      <c r="AF176" t="s">
        <v>3</v>
      </c>
      <c r="AG176">
        <v>0.65</v>
      </c>
      <c r="AH176">
        <v>2</v>
      </c>
      <c r="AI176">
        <v>37600370</v>
      </c>
      <c r="AJ176">
        <v>176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ROW(Source!A307)</f>
        <v>307</v>
      </c>
      <c r="B177">
        <v>37602529</v>
      </c>
      <c r="C177">
        <v>37600364</v>
      </c>
      <c r="D177">
        <v>34189650</v>
      </c>
      <c r="E177">
        <v>1</v>
      </c>
      <c r="F177">
        <v>1</v>
      </c>
      <c r="G177">
        <v>15</v>
      </c>
      <c r="H177">
        <v>3</v>
      </c>
      <c r="I177" t="s">
        <v>247</v>
      </c>
      <c r="J177" t="s">
        <v>248</v>
      </c>
      <c r="K177" t="s">
        <v>249</v>
      </c>
      <c r="L177">
        <v>1339</v>
      </c>
      <c r="N177">
        <v>1007</v>
      </c>
      <c r="O177" t="s">
        <v>115</v>
      </c>
      <c r="P177" t="s">
        <v>115</v>
      </c>
      <c r="Q177">
        <v>1</v>
      </c>
      <c r="X177">
        <v>110</v>
      </c>
      <c r="Y177">
        <v>559.23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110</v>
      </c>
      <c r="AH177">
        <v>2</v>
      </c>
      <c r="AI177">
        <v>37600371</v>
      </c>
      <c r="AJ177">
        <v>177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ROW(Source!A307)</f>
        <v>307</v>
      </c>
      <c r="B178">
        <v>37602530</v>
      </c>
      <c r="C178">
        <v>37600364</v>
      </c>
      <c r="D178">
        <v>34190363</v>
      </c>
      <c r="E178">
        <v>1</v>
      </c>
      <c r="F178">
        <v>1</v>
      </c>
      <c r="G178">
        <v>15</v>
      </c>
      <c r="H178">
        <v>3</v>
      </c>
      <c r="I178" t="s">
        <v>250</v>
      </c>
      <c r="J178" t="s">
        <v>251</v>
      </c>
      <c r="K178" t="s">
        <v>252</v>
      </c>
      <c r="L178">
        <v>1339</v>
      </c>
      <c r="N178">
        <v>1007</v>
      </c>
      <c r="O178" t="s">
        <v>115</v>
      </c>
      <c r="P178" t="s">
        <v>115</v>
      </c>
      <c r="Q178">
        <v>1</v>
      </c>
      <c r="X178">
        <v>5</v>
      </c>
      <c r="Y178">
        <v>28.77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3</v>
      </c>
      <c r="AG178">
        <v>5</v>
      </c>
      <c r="AH178">
        <v>2</v>
      </c>
      <c r="AI178">
        <v>37600372</v>
      </c>
      <c r="AJ178">
        <v>178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ROW(Source!A308)</f>
        <v>308</v>
      </c>
      <c r="B179">
        <v>37602531</v>
      </c>
      <c r="C179">
        <v>37600381</v>
      </c>
      <c r="D179">
        <v>34176775</v>
      </c>
      <c r="E179">
        <v>15</v>
      </c>
      <c r="F179">
        <v>1</v>
      </c>
      <c r="G179">
        <v>15</v>
      </c>
      <c r="H179">
        <v>1</v>
      </c>
      <c r="I179" t="s">
        <v>213</v>
      </c>
      <c r="J179" t="s">
        <v>3</v>
      </c>
      <c r="K179" t="s">
        <v>214</v>
      </c>
      <c r="L179">
        <v>1191</v>
      </c>
      <c r="N179">
        <v>1013</v>
      </c>
      <c r="O179" t="s">
        <v>215</v>
      </c>
      <c r="P179" t="s">
        <v>215</v>
      </c>
      <c r="Q179">
        <v>1</v>
      </c>
      <c r="X179">
        <v>24.84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1</v>
      </c>
      <c r="AF179" t="s">
        <v>3</v>
      </c>
      <c r="AG179">
        <v>24.84</v>
      </c>
      <c r="AH179">
        <v>2</v>
      </c>
      <c r="AI179">
        <v>37600382</v>
      </c>
      <c r="AJ179">
        <v>179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ROW(Source!A308)</f>
        <v>308</v>
      </c>
      <c r="B180">
        <v>37602532</v>
      </c>
      <c r="C180">
        <v>37600381</v>
      </c>
      <c r="D180">
        <v>34188482</v>
      </c>
      <c r="E180">
        <v>1</v>
      </c>
      <c r="F180">
        <v>1</v>
      </c>
      <c r="G180">
        <v>15</v>
      </c>
      <c r="H180">
        <v>2</v>
      </c>
      <c r="I180" t="s">
        <v>253</v>
      </c>
      <c r="J180" t="s">
        <v>254</v>
      </c>
      <c r="K180" t="s">
        <v>255</v>
      </c>
      <c r="L180">
        <v>1368</v>
      </c>
      <c r="N180">
        <v>1011</v>
      </c>
      <c r="O180" t="s">
        <v>219</v>
      </c>
      <c r="P180" t="s">
        <v>219</v>
      </c>
      <c r="Q180">
        <v>1</v>
      </c>
      <c r="X180">
        <v>2.94</v>
      </c>
      <c r="Y180">
        <v>0</v>
      </c>
      <c r="Z180">
        <v>711.82</v>
      </c>
      <c r="AA180">
        <v>363.48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2.94</v>
      </c>
      <c r="AH180">
        <v>2</v>
      </c>
      <c r="AI180">
        <v>37600383</v>
      </c>
      <c r="AJ180">
        <v>180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ROW(Source!A308)</f>
        <v>308</v>
      </c>
      <c r="B181">
        <v>37602533</v>
      </c>
      <c r="C181">
        <v>37600381</v>
      </c>
      <c r="D181">
        <v>34188303</v>
      </c>
      <c r="E181">
        <v>1</v>
      </c>
      <c r="F181">
        <v>1</v>
      </c>
      <c r="G181">
        <v>15</v>
      </c>
      <c r="H181">
        <v>2</v>
      </c>
      <c r="I181" t="s">
        <v>241</v>
      </c>
      <c r="J181" t="s">
        <v>242</v>
      </c>
      <c r="K181" t="s">
        <v>243</v>
      </c>
      <c r="L181">
        <v>1368</v>
      </c>
      <c r="N181">
        <v>1011</v>
      </c>
      <c r="O181" t="s">
        <v>219</v>
      </c>
      <c r="P181" t="s">
        <v>219</v>
      </c>
      <c r="Q181">
        <v>1</v>
      </c>
      <c r="X181">
        <v>1.1399999999999999</v>
      </c>
      <c r="Y181">
        <v>0</v>
      </c>
      <c r="Z181">
        <v>1527.34</v>
      </c>
      <c r="AA181">
        <v>334.88</v>
      </c>
      <c r="AB181">
        <v>0</v>
      </c>
      <c r="AC181">
        <v>0</v>
      </c>
      <c r="AD181">
        <v>1</v>
      </c>
      <c r="AE181">
        <v>0</v>
      </c>
      <c r="AF181" t="s">
        <v>3</v>
      </c>
      <c r="AG181">
        <v>1.1399999999999999</v>
      </c>
      <c r="AH181">
        <v>2</v>
      </c>
      <c r="AI181">
        <v>37600384</v>
      </c>
      <c r="AJ181">
        <v>181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ROW(Source!A308)</f>
        <v>308</v>
      </c>
      <c r="B182">
        <v>37602534</v>
      </c>
      <c r="C182">
        <v>37600381</v>
      </c>
      <c r="D182">
        <v>34188322</v>
      </c>
      <c r="E182">
        <v>1</v>
      </c>
      <c r="F182">
        <v>1</v>
      </c>
      <c r="G182">
        <v>15</v>
      </c>
      <c r="H182">
        <v>2</v>
      </c>
      <c r="I182" t="s">
        <v>256</v>
      </c>
      <c r="J182" t="s">
        <v>257</v>
      </c>
      <c r="K182" t="s">
        <v>258</v>
      </c>
      <c r="L182">
        <v>1368</v>
      </c>
      <c r="N182">
        <v>1011</v>
      </c>
      <c r="O182" t="s">
        <v>219</v>
      </c>
      <c r="P182" t="s">
        <v>219</v>
      </c>
      <c r="Q182">
        <v>1</v>
      </c>
      <c r="X182">
        <v>8.9600000000000009</v>
      </c>
      <c r="Y182">
        <v>0</v>
      </c>
      <c r="Z182">
        <v>984.76</v>
      </c>
      <c r="AA182">
        <v>387.07</v>
      </c>
      <c r="AB182">
        <v>0</v>
      </c>
      <c r="AC182">
        <v>0</v>
      </c>
      <c r="AD182">
        <v>1</v>
      </c>
      <c r="AE182">
        <v>0</v>
      </c>
      <c r="AF182" t="s">
        <v>3</v>
      </c>
      <c r="AG182">
        <v>8.9600000000000009</v>
      </c>
      <c r="AH182">
        <v>2</v>
      </c>
      <c r="AI182">
        <v>37600385</v>
      </c>
      <c r="AJ182">
        <v>182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ROW(Source!A308)</f>
        <v>308</v>
      </c>
      <c r="B183">
        <v>37602535</v>
      </c>
      <c r="C183">
        <v>37600381</v>
      </c>
      <c r="D183">
        <v>34188321</v>
      </c>
      <c r="E183">
        <v>1</v>
      </c>
      <c r="F183">
        <v>1</v>
      </c>
      <c r="G183">
        <v>15</v>
      </c>
      <c r="H183">
        <v>2</v>
      </c>
      <c r="I183" t="s">
        <v>259</v>
      </c>
      <c r="J183" t="s">
        <v>260</v>
      </c>
      <c r="K183" t="s">
        <v>261</v>
      </c>
      <c r="L183">
        <v>1368</v>
      </c>
      <c r="N183">
        <v>1011</v>
      </c>
      <c r="O183" t="s">
        <v>219</v>
      </c>
      <c r="P183" t="s">
        <v>219</v>
      </c>
      <c r="Q183">
        <v>1</v>
      </c>
      <c r="X183">
        <v>18.25</v>
      </c>
      <c r="Y183">
        <v>0</v>
      </c>
      <c r="Z183">
        <v>1482.31</v>
      </c>
      <c r="AA183">
        <v>526.20000000000005</v>
      </c>
      <c r="AB183">
        <v>0</v>
      </c>
      <c r="AC183">
        <v>0</v>
      </c>
      <c r="AD183">
        <v>1</v>
      </c>
      <c r="AE183">
        <v>0</v>
      </c>
      <c r="AF183" t="s">
        <v>3</v>
      </c>
      <c r="AG183">
        <v>18.25</v>
      </c>
      <c r="AH183">
        <v>2</v>
      </c>
      <c r="AI183">
        <v>37600386</v>
      </c>
      <c r="AJ183">
        <v>183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ROW(Source!A308)</f>
        <v>308</v>
      </c>
      <c r="B184">
        <v>37602536</v>
      </c>
      <c r="C184">
        <v>37600381</v>
      </c>
      <c r="D184">
        <v>34188265</v>
      </c>
      <c r="E184">
        <v>1</v>
      </c>
      <c r="F184">
        <v>1</v>
      </c>
      <c r="G184">
        <v>15</v>
      </c>
      <c r="H184">
        <v>2</v>
      </c>
      <c r="I184" t="s">
        <v>223</v>
      </c>
      <c r="J184" t="s">
        <v>224</v>
      </c>
      <c r="K184" t="s">
        <v>225</v>
      </c>
      <c r="L184">
        <v>1368</v>
      </c>
      <c r="N184">
        <v>1011</v>
      </c>
      <c r="O184" t="s">
        <v>219</v>
      </c>
      <c r="P184" t="s">
        <v>219</v>
      </c>
      <c r="Q184">
        <v>1</v>
      </c>
      <c r="X184">
        <v>2.2400000000000002</v>
      </c>
      <c r="Y184">
        <v>0</v>
      </c>
      <c r="Z184">
        <v>1142.6300000000001</v>
      </c>
      <c r="AA184">
        <v>468.35</v>
      </c>
      <c r="AB184">
        <v>0</v>
      </c>
      <c r="AC184">
        <v>0</v>
      </c>
      <c r="AD184">
        <v>1</v>
      </c>
      <c r="AE184">
        <v>0</v>
      </c>
      <c r="AF184" t="s">
        <v>3</v>
      </c>
      <c r="AG184">
        <v>2.2400000000000002</v>
      </c>
      <c r="AH184">
        <v>2</v>
      </c>
      <c r="AI184">
        <v>37600387</v>
      </c>
      <c r="AJ184">
        <v>184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ROW(Source!A308)</f>
        <v>308</v>
      </c>
      <c r="B185">
        <v>37602537</v>
      </c>
      <c r="C185">
        <v>37600381</v>
      </c>
      <c r="D185">
        <v>34188313</v>
      </c>
      <c r="E185">
        <v>1</v>
      </c>
      <c r="F185">
        <v>1</v>
      </c>
      <c r="G185">
        <v>15</v>
      </c>
      <c r="H185">
        <v>2</v>
      </c>
      <c r="I185" t="s">
        <v>244</v>
      </c>
      <c r="J185" t="s">
        <v>245</v>
      </c>
      <c r="K185" t="s">
        <v>246</v>
      </c>
      <c r="L185">
        <v>1368</v>
      </c>
      <c r="N185">
        <v>1011</v>
      </c>
      <c r="O185" t="s">
        <v>219</v>
      </c>
      <c r="P185" t="s">
        <v>219</v>
      </c>
      <c r="Q185">
        <v>1</v>
      </c>
      <c r="X185">
        <v>0.65</v>
      </c>
      <c r="Y185">
        <v>0</v>
      </c>
      <c r="Z185">
        <v>1590.37</v>
      </c>
      <c r="AA185">
        <v>497.81</v>
      </c>
      <c r="AB185">
        <v>0</v>
      </c>
      <c r="AC185">
        <v>0</v>
      </c>
      <c r="AD185">
        <v>1</v>
      </c>
      <c r="AE185">
        <v>0</v>
      </c>
      <c r="AF185" t="s">
        <v>3</v>
      </c>
      <c r="AG185">
        <v>0.65</v>
      </c>
      <c r="AH185">
        <v>2</v>
      </c>
      <c r="AI185">
        <v>37600388</v>
      </c>
      <c r="AJ185">
        <v>185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ROW(Source!A308)</f>
        <v>308</v>
      </c>
      <c r="B186">
        <v>37602538</v>
      </c>
      <c r="C186">
        <v>37600381</v>
      </c>
      <c r="D186">
        <v>34189676</v>
      </c>
      <c r="E186">
        <v>1</v>
      </c>
      <c r="F186">
        <v>1</v>
      </c>
      <c r="G186">
        <v>15</v>
      </c>
      <c r="H186">
        <v>3</v>
      </c>
      <c r="I186" t="s">
        <v>262</v>
      </c>
      <c r="J186" t="s">
        <v>263</v>
      </c>
      <c r="K186" t="s">
        <v>264</v>
      </c>
      <c r="L186">
        <v>1339</v>
      </c>
      <c r="N186">
        <v>1007</v>
      </c>
      <c r="O186" t="s">
        <v>115</v>
      </c>
      <c r="P186" t="s">
        <v>115</v>
      </c>
      <c r="Q186">
        <v>1</v>
      </c>
      <c r="X186">
        <v>126</v>
      </c>
      <c r="Y186">
        <v>1910.98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3</v>
      </c>
      <c r="AG186">
        <v>126</v>
      </c>
      <c r="AH186">
        <v>2</v>
      </c>
      <c r="AI186">
        <v>37600389</v>
      </c>
      <c r="AJ186">
        <v>186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ROW(Source!A308)</f>
        <v>308</v>
      </c>
      <c r="B187">
        <v>37602539</v>
      </c>
      <c r="C187">
        <v>37600381</v>
      </c>
      <c r="D187">
        <v>34190363</v>
      </c>
      <c r="E187">
        <v>1</v>
      </c>
      <c r="F187">
        <v>1</v>
      </c>
      <c r="G187">
        <v>15</v>
      </c>
      <c r="H187">
        <v>3</v>
      </c>
      <c r="I187" t="s">
        <v>250</v>
      </c>
      <c r="J187" t="s">
        <v>251</v>
      </c>
      <c r="K187" t="s">
        <v>252</v>
      </c>
      <c r="L187">
        <v>1339</v>
      </c>
      <c r="N187">
        <v>1007</v>
      </c>
      <c r="O187" t="s">
        <v>115</v>
      </c>
      <c r="P187" t="s">
        <v>115</v>
      </c>
      <c r="Q187">
        <v>1</v>
      </c>
      <c r="X187">
        <v>7</v>
      </c>
      <c r="Y187">
        <v>28.77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3</v>
      </c>
      <c r="AG187">
        <v>7</v>
      </c>
      <c r="AH187">
        <v>2</v>
      </c>
      <c r="AI187">
        <v>37600390</v>
      </c>
      <c r="AJ187">
        <v>187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>
        <f>ROW(Source!A309)</f>
        <v>309</v>
      </c>
      <c r="B188">
        <v>37602540</v>
      </c>
      <c r="C188">
        <v>37600400</v>
      </c>
      <c r="D188">
        <v>34176775</v>
      </c>
      <c r="E188">
        <v>15</v>
      </c>
      <c r="F188">
        <v>1</v>
      </c>
      <c r="G188">
        <v>15</v>
      </c>
      <c r="H188">
        <v>1</v>
      </c>
      <c r="I188" t="s">
        <v>213</v>
      </c>
      <c r="J188" t="s">
        <v>3</v>
      </c>
      <c r="K188" t="s">
        <v>214</v>
      </c>
      <c r="L188">
        <v>1191</v>
      </c>
      <c r="N188">
        <v>1013</v>
      </c>
      <c r="O188" t="s">
        <v>215</v>
      </c>
      <c r="P188" t="s">
        <v>215</v>
      </c>
      <c r="Q188">
        <v>1</v>
      </c>
      <c r="X188">
        <v>13.57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1</v>
      </c>
      <c r="AF188" t="s">
        <v>3</v>
      </c>
      <c r="AG188">
        <v>13.57</v>
      </c>
      <c r="AH188">
        <v>2</v>
      </c>
      <c r="AI188">
        <v>37600401</v>
      </c>
      <c r="AJ188">
        <v>188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ROW(Source!A309)</f>
        <v>309</v>
      </c>
      <c r="B189">
        <v>37602541</v>
      </c>
      <c r="C189">
        <v>37600400</v>
      </c>
      <c r="D189">
        <v>34188316</v>
      </c>
      <c r="E189">
        <v>1</v>
      </c>
      <c r="F189">
        <v>1</v>
      </c>
      <c r="G189">
        <v>15</v>
      </c>
      <c r="H189">
        <v>2</v>
      </c>
      <c r="I189" t="s">
        <v>265</v>
      </c>
      <c r="J189" t="s">
        <v>266</v>
      </c>
      <c r="K189" t="s">
        <v>267</v>
      </c>
      <c r="L189">
        <v>1368</v>
      </c>
      <c r="N189">
        <v>1011</v>
      </c>
      <c r="O189" t="s">
        <v>219</v>
      </c>
      <c r="P189" t="s">
        <v>219</v>
      </c>
      <c r="Q189">
        <v>1</v>
      </c>
      <c r="X189">
        <v>0.46</v>
      </c>
      <c r="Y189">
        <v>0</v>
      </c>
      <c r="Z189">
        <v>628.07000000000005</v>
      </c>
      <c r="AA189">
        <v>377.51</v>
      </c>
      <c r="AB189">
        <v>0</v>
      </c>
      <c r="AC189">
        <v>0</v>
      </c>
      <c r="AD189">
        <v>1</v>
      </c>
      <c r="AE189">
        <v>0</v>
      </c>
      <c r="AF189" t="s">
        <v>3</v>
      </c>
      <c r="AG189">
        <v>0.46</v>
      </c>
      <c r="AH189">
        <v>2</v>
      </c>
      <c r="AI189">
        <v>37600402</v>
      </c>
      <c r="AJ189">
        <v>189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ROW(Source!A309)</f>
        <v>309</v>
      </c>
      <c r="B190">
        <v>37602542</v>
      </c>
      <c r="C190">
        <v>37600400</v>
      </c>
      <c r="D190">
        <v>34188315</v>
      </c>
      <c r="E190">
        <v>1</v>
      </c>
      <c r="F190">
        <v>1</v>
      </c>
      <c r="G190">
        <v>15</v>
      </c>
      <c r="H190">
        <v>2</v>
      </c>
      <c r="I190" t="s">
        <v>268</v>
      </c>
      <c r="J190" t="s">
        <v>269</v>
      </c>
      <c r="K190" t="s">
        <v>270</v>
      </c>
      <c r="L190">
        <v>1368</v>
      </c>
      <c r="N190">
        <v>1011</v>
      </c>
      <c r="O190" t="s">
        <v>219</v>
      </c>
      <c r="P190" t="s">
        <v>219</v>
      </c>
      <c r="Q190">
        <v>1</v>
      </c>
      <c r="X190">
        <v>1.39</v>
      </c>
      <c r="Y190">
        <v>0</v>
      </c>
      <c r="Z190">
        <v>681</v>
      </c>
      <c r="AA190">
        <v>389.98</v>
      </c>
      <c r="AB190">
        <v>0</v>
      </c>
      <c r="AC190">
        <v>0</v>
      </c>
      <c r="AD190">
        <v>1</v>
      </c>
      <c r="AE190">
        <v>0</v>
      </c>
      <c r="AF190" t="s">
        <v>3</v>
      </c>
      <c r="AG190">
        <v>1.39</v>
      </c>
      <c r="AH190">
        <v>2</v>
      </c>
      <c r="AI190">
        <v>37600403</v>
      </c>
      <c r="AJ190">
        <v>190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ROW(Source!A309)</f>
        <v>309</v>
      </c>
      <c r="B191">
        <v>37602543</v>
      </c>
      <c r="C191">
        <v>37600400</v>
      </c>
      <c r="D191">
        <v>34191424</v>
      </c>
      <c r="E191">
        <v>1</v>
      </c>
      <c r="F191">
        <v>1</v>
      </c>
      <c r="G191">
        <v>15</v>
      </c>
      <c r="H191">
        <v>3</v>
      </c>
      <c r="I191" t="s">
        <v>271</v>
      </c>
      <c r="J191" t="s">
        <v>272</v>
      </c>
      <c r="K191" t="s">
        <v>273</v>
      </c>
      <c r="L191">
        <v>1348</v>
      </c>
      <c r="N191">
        <v>1009</v>
      </c>
      <c r="O191" t="s">
        <v>29</v>
      </c>
      <c r="P191" t="s">
        <v>29</v>
      </c>
      <c r="Q191">
        <v>1000</v>
      </c>
      <c r="X191">
        <v>9.58</v>
      </c>
      <c r="Y191">
        <v>2314.4499999999998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0</v>
      </c>
      <c r="AF191" t="s">
        <v>54</v>
      </c>
      <c r="AG191">
        <v>11.975</v>
      </c>
      <c r="AH191">
        <v>2</v>
      </c>
      <c r="AI191">
        <v>37600404</v>
      </c>
      <c r="AJ191">
        <v>191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ROW(Source!A310)</f>
        <v>310</v>
      </c>
      <c r="B192">
        <v>37602554</v>
      </c>
      <c r="C192">
        <v>37600409</v>
      </c>
      <c r="D192">
        <v>34176775</v>
      </c>
      <c r="E192">
        <v>15</v>
      </c>
      <c r="F192">
        <v>1</v>
      </c>
      <c r="G192">
        <v>15</v>
      </c>
      <c r="H192">
        <v>1</v>
      </c>
      <c r="I192" t="s">
        <v>213</v>
      </c>
      <c r="J192" t="s">
        <v>3</v>
      </c>
      <c r="K192" t="s">
        <v>214</v>
      </c>
      <c r="L192">
        <v>1191</v>
      </c>
      <c r="N192">
        <v>1013</v>
      </c>
      <c r="O192" t="s">
        <v>215</v>
      </c>
      <c r="P192" t="s">
        <v>215</v>
      </c>
      <c r="Q192">
        <v>1</v>
      </c>
      <c r="X192">
        <v>18.440000000000001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1</v>
      </c>
      <c r="AF192" t="s">
        <v>3</v>
      </c>
      <c r="AG192">
        <v>18.440000000000001</v>
      </c>
      <c r="AH192">
        <v>2</v>
      </c>
      <c r="AI192">
        <v>37600410</v>
      </c>
      <c r="AJ192">
        <v>192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ROW(Source!A310)</f>
        <v>310</v>
      </c>
      <c r="B193">
        <v>37602555</v>
      </c>
      <c r="C193">
        <v>37600409</v>
      </c>
      <c r="D193">
        <v>34187808</v>
      </c>
      <c r="E193">
        <v>1</v>
      </c>
      <c r="F193">
        <v>1</v>
      </c>
      <c r="G193">
        <v>15</v>
      </c>
      <c r="H193">
        <v>2</v>
      </c>
      <c r="I193" t="s">
        <v>309</v>
      </c>
      <c r="J193" t="s">
        <v>310</v>
      </c>
      <c r="K193" t="s">
        <v>311</v>
      </c>
      <c r="L193">
        <v>1368</v>
      </c>
      <c r="N193">
        <v>1011</v>
      </c>
      <c r="O193" t="s">
        <v>219</v>
      </c>
      <c r="P193" t="s">
        <v>219</v>
      </c>
      <c r="Q193">
        <v>1</v>
      </c>
      <c r="X193">
        <v>2.64</v>
      </c>
      <c r="Y193">
        <v>0</v>
      </c>
      <c r="Z193">
        <v>401.44</v>
      </c>
      <c r="AA193">
        <v>272.81</v>
      </c>
      <c r="AB193">
        <v>0</v>
      </c>
      <c r="AC193">
        <v>0</v>
      </c>
      <c r="AD193">
        <v>1</v>
      </c>
      <c r="AE193">
        <v>0</v>
      </c>
      <c r="AF193" t="s">
        <v>3</v>
      </c>
      <c r="AG193">
        <v>2.64</v>
      </c>
      <c r="AH193">
        <v>2</v>
      </c>
      <c r="AI193">
        <v>37600411</v>
      </c>
      <c r="AJ193">
        <v>193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ROW(Source!A310)</f>
        <v>310</v>
      </c>
      <c r="B194">
        <v>37602556</v>
      </c>
      <c r="C194">
        <v>37600409</v>
      </c>
      <c r="D194">
        <v>34187761</v>
      </c>
      <c r="E194">
        <v>1</v>
      </c>
      <c r="F194">
        <v>1</v>
      </c>
      <c r="G194">
        <v>15</v>
      </c>
      <c r="H194">
        <v>2</v>
      </c>
      <c r="I194" t="s">
        <v>312</v>
      </c>
      <c r="J194" t="s">
        <v>313</v>
      </c>
      <c r="K194" t="s">
        <v>314</v>
      </c>
      <c r="L194">
        <v>1368</v>
      </c>
      <c r="N194">
        <v>1011</v>
      </c>
      <c r="O194" t="s">
        <v>219</v>
      </c>
      <c r="P194" t="s">
        <v>219</v>
      </c>
      <c r="Q194">
        <v>1</v>
      </c>
      <c r="X194">
        <v>1.18</v>
      </c>
      <c r="Y194">
        <v>0</v>
      </c>
      <c r="Z194">
        <v>6.05</v>
      </c>
      <c r="AA194">
        <v>0.71</v>
      </c>
      <c r="AB194">
        <v>0</v>
      </c>
      <c r="AC194">
        <v>0</v>
      </c>
      <c r="AD194">
        <v>1</v>
      </c>
      <c r="AE194">
        <v>0</v>
      </c>
      <c r="AF194" t="s">
        <v>3</v>
      </c>
      <c r="AG194">
        <v>1.18</v>
      </c>
      <c r="AH194">
        <v>2</v>
      </c>
      <c r="AI194">
        <v>37600412</v>
      </c>
      <c r="AJ194">
        <v>194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ROW(Source!A310)</f>
        <v>310</v>
      </c>
      <c r="B195">
        <v>37602557</v>
      </c>
      <c r="C195">
        <v>37600409</v>
      </c>
      <c r="D195">
        <v>34188395</v>
      </c>
      <c r="E195">
        <v>1</v>
      </c>
      <c r="F195">
        <v>1</v>
      </c>
      <c r="G195">
        <v>15</v>
      </c>
      <c r="H195">
        <v>2</v>
      </c>
      <c r="I195" t="s">
        <v>315</v>
      </c>
      <c r="J195" t="s">
        <v>316</v>
      </c>
      <c r="K195" t="s">
        <v>317</v>
      </c>
      <c r="L195">
        <v>1368</v>
      </c>
      <c r="N195">
        <v>1011</v>
      </c>
      <c r="O195" t="s">
        <v>219</v>
      </c>
      <c r="P195" t="s">
        <v>219</v>
      </c>
      <c r="Q195">
        <v>1</v>
      </c>
      <c r="X195">
        <v>0.01</v>
      </c>
      <c r="Y195">
        <v>0</v>
      </c>
      <c r="Z195">
        <v>482.71</v>
      </c>
      <c r="AA195">
        <v>373.38</v>
      </c>
      <c r="AB195">
        <v>0</v>
      </c>
      <c r="AC195">
        <v>0</v>
      </c>
      <c r="AD195">
        <v>1</v>
      </c>
      <c r="AE195">
        <v>0</v>
      </c>
      <c r="AF195" t="s">
        <v>3</v>
      </c>
      <c r="AG195">
        <v>0.01</v>
      </c>
      <c r="AH195">
        <v>2</v>
      </c>
      <c r="AI195">
        <v>37600413</v>
      </c>
      <c r="AJ195">
        <v>195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ROW(Source!A310)</f>
        <v>310</v>
      </c>
      <c r="B196">
        <v>37602558</v>
      </c>
      <c r="C196">
        <v>37600409</v>
      </c>
      <c r="D196">
        <v>34188225</v>
      </c>
      <c r="E196">
        <v>1</v>
      </c>
      <c r="F196">
        <v>1</v>
      </c>
      <c r="G196">
        <v>15</v>
      </c>
      <c r="H196">
        <v>2</v>
      </c>
      <c r="I196" t="s">
        <v>318</v>
      </c>
      <c r="J196" t="s">
        <v>319</v>
      </c>
      <c r="K196" t="s">
        <v>320</v>
      </c>
      <c r="L196">
        <v>1368</v>
      </c>
      <c r="N196">
        <v>1011</v>
      </c>
      <c r="O196" t="s">
        <v>219</v>
      </c>
      <c r="P196" t="s">
        <v>219</v>
      </c>
      <c r="Q196">
        <v>1</v>
      </c>
      <c r="X196">
        <v>2.64</v>
      </c>
      <c r="Y196">
        <v>0</v>
      </c>
      <c r="Z196">
        <v>342.24</v>
      </c>
      <c r="AA196">
        <v>296.26</v>
      </c>
      <c r="AB196">
        <v>0</v>
      </c>
      <c r="AC196">
        <v>0</v>
      </c>
      <c r="AD196">
        <v>1</v>
      </c>
      <c r="AE196">
        <v>0</v>
      </c>
      <c r="AF196" t="s">
        <v>3</v>
      </c>
      <c r="AG196">
        <v>2.64</v>
      </c>
      <c r="AH196">
        <v>2</v>
      </c>
      <c r="AI196">
        <v>37600414</v>
      </c>
      <c r="AJ196">
        <v>196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ROW(Source!A310)</f>
        <v>310</v>
      </c>
      <c r="B197">
        <v>37602559</v>
      </c>
      <c r="C197">
        <v>37600409</v>
      </c>
      <c r="D197">
        <v>34190584</v>
      </c>
      <c r="E197">
        <v>1</v>
      </c>
      <c r="F197">
        <v>1</v>
      </c>
      <c r="G197">
        <v>15</v>
      </c>
      <c r="H197">
        <v>3</v>
      </c>
      <c r="I197" t="s">
        <v>321</v>
      </c>
      <c r="J197" t="s">
        <v>322</v>
      </c>
      <c r="K197" t="s">
        <v>323</v>
      </c>
      <c r="L197">
        <v>1327</v>
      </c>
      <c r="N197">
        <v>1005</v>
      </c>
      <c r="O197" t="s">
        <v>176</v>
      </c>
      <c r="P197" t="s">
        <v>176</v>
      </c>
      <c r="Q197">
        <v>1</v>
      </c>
      <c r="X197">
        <v>5.6</v>
      </c>
      <c r="Y197">
        <v>12.61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0</v>
      </c>
      <c r="AF197" t="s">
        <v>3</v>
      </c>
      <c r="AG197">
        <v>5.6</v>
      </c>
      <c r="AH197">
        <v>2</v>
      </c>
      <c r="AI197">
        <v>37600415</v>
      </c>
      <c r="AJ197">
        <v>197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ROW(Source!A310)</f>
        <v>310</v>
      </c>
      <c r="B198">
        <v>37602560</v>
      </c>
      <c r="C198">
        <v>37600409</v>
      </c>
      <c r="D198">
        <v>34190671</v>
      </c>
      <c r="E198">
        <v>1</v>
      </c>
      <c r="F198">
        <v>1</v>
      </c>
      <c r="G198">
        <v>15</v>
      </c>
      <c r="H198">
        <v>3</v>
      </c>
      <c r="I198" t="s">
        <v>324</v>
      </c>
      <c r="J198" t="s">
        <v>325</v>
      </c>
      <c r="K198" t="s">
        <v>326</v>
      </c>
      <c r="L198">
        <v>1348</v>
      </c>
      <c r="N198">
        <v>1009</v>
      </c>
      <c r="O198" t="s">
        <v>29</v>
      </c>
      <c r="P198" t="s">
        <v>29</v>
      </c>
      <c r="Q198">
        <v>1000</v>
      </c>
      <c r="X198">
        <v>3.15E-3</v>
      </c>
      <c r="Y198">
        <v>100975.39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0</v>
      </c>
      <c r="AF198" t="s">
        <v>3</v>
      </c>
      <c r="AG198">
        <v>3.15E-3</v>
      </c>
      <c r="AH198">
        <v>2</v>
      </c>
      <c r="AI198">
        <v>37600416</v>
      </c>
      <c r="AJ198">
        <v>198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ROW(Source!A310)</f>
        <v>310</v>
      </c>
      <c r="B199">
        <v>37602561</v>
      </c>
      <c r="C199">
        <v>37600409</v>
      </c>
      <c r="D199">
        <v>34190888</v>
      </c>
      <c r="E199">
        <v>1</v>
      </c>
      <c r="F199">
        <v>1</v>
      </c>
      <c r="G199">
        <v>15</v>
      </c>
      <c r="H199">
        <v>3</v>
      </c>
      <c r="I199" t="s">
        <v>327</v>
      </c>
      <c r="J199" t="s">
        <v>328</v>
      </c>
      <c r="K199" t="s">
        <v>329</v>
      </c>
      <c r="L199">
        <v>1346</v>
      </c>
      <c r="N199">
        <v>1009</v>
      </c>
      <c r="O199" t="s">
        <v>330</v>
      </c>
      <c r="P199" t="s">
        <v>330</v>
      </c>
      <c r="Q199">
        <v>1</v>
      </c>
      <c r="X199">
        <v>735</v>
      </c>
      <c r="Y199">
        <v>20.03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0</v>
      </c>
      <c r="AF199" t="s">
        <v>3</v>
      </c>
      <c r="AG199">
        <v>735</v>
      </c>
      <c r="AH199">
        <v>2</v>
      </c>
      <c r="AI199">
        <v>37600417</v>
      </c>
      <c r="AJ199">
        <v>199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ROW(Source!A310)</f>
        <v>310</v>
      </c>
      <c r="B200">
        <v>37602562</v>
      </c>
      <c r="C200">
        <v>37600409</v>
      </c>
      <c r="D200">
        <v>34190895</v>
      </c>
      <c r="E200">
        <v>1</v>
      </c>
      <c r="F200">
        <v>1</v>
      </c>
      <c r="G200">
        <v>15</v>
      </c>
      <c r="H200">
        <v>3</v>
      </c>
      <c r="I200" t="s">
        <v>331</v>
      </c>
      <c r="J200" t="s">
        <v>332</v>
      </c>
      <c r="K200" t="s">
        <v>333</v>
      </c>
      <c r="L200">
        <v>1346</v>
      </c>
      <c r="N200">
        <v>1009</v>
      </c>
      <c r="O200" t="s">
        <v>330</v>
      </c>
      <c r="P200" t="s">
        <v>330</v>
      </c>
      <c r="Q200">
        <v>1</v>
      </c>
      <c r="X200">
        <v>241.5</v>
      </c>
      <c r="Y200">
        <v>175.18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0</v>
      </c>
      <c r="AF200" t="s">
        <v>3</v>
      </c>
      <c r="AG200">
        <v>241.5</v>
      </c>
      <c r="AH200">
        <v>2</v>
      </c>
      <c r="AI200">
        <v>37600418</v>
      </c>
      <c r="AJ200">
        <v>200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ROW(Source!A310)</f>
        <v>310</v>
      </c>
      <c r="B201">
        <v>37602563</v>
      </c>
      <c r="C201">
        <v>37600409</v>
      </c>
      <c r="D201">
        <v>34188917</v>
      </c>
      <c r="E201">
        <v>1</v>
      </c>
      <c r="F201">
        <v>1</v>
      </c>
      <c r="G201">
        <v>15</v>
      </c>
      <c r="H201">
        <v>3</v>
      </c>
      <c r="I201" t="s">
        <v>334</v>
      </c>
      <c r="J201" t="s">
        <v>335</v>
      </c>
      <c r="K201" t="s">
        <v>336</v>
      </c>
      <c r="L201">
        <v>1348</v>
      </c>
      <c r="N201">
        <v>1009</v>
      </c>
      <c r="O201" t="s">
        <v>29</v>
      </c>
      <c r="P201" t="s">
        <v>29</v>
      </c>
      <c r="Q201">
        <v>1000</v>
      </c>
      <c r="X201">
        <v>5.2499999999999998E-2</v>
      </c>
      <c r="Y201">
        <v>360260.32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0</v>
      </c>
      <c r="AF201" t="s">
        <v>3</v>
      </c>
      <c r="AG201">
        <v>5.2499999999999998E-2</v>
      </c>
      <c r="AH201">
        <v>2</v>
      </c>
      <c r="AI201">
        <v>37600419</v>
      </c>
      <c r="AJ201">
        <v>201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">
      <c r="A202">
        <f>ROW(Source!A311)</f>
        <v>311</v>
      </c>
      <c r="B202">
        <v>37602564</v>
      </c>
      <c r="C202">
        <v>37600430</v>
      </c>
      <c r="D202">
        <v>34176775</v>
      </c>
      <c r="E202">
        <v>15</v>
      </c>
      <c r="F202">
        <v>1</v>
      </c>
      <c r="G202">
        <v>15</v>
      </c>
      <c r="H202">
        <v>1</v>
      </c>
      <c r="I202" t="s">
        <v>213</v>
      </c>
      <c r="J202" t="s">
        <v>3</v>
      </c>
      <c r="K202" t="s">
        <v>214</v>
      </c>
      <c r="L202">
        <v>1191</v>
      </c>
      <c r="N202">
        <v>1013</v>
      </c>
      <c r="O202" t="s">
        <v>215</v>
      </c>
      <c r="P202" t="s">
        <v>215</v>
      </c>
      <c r="Q202">
        <v>1</v>
      </c>
      <c r="X202">
        <v>2.65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1</v>
      </c>
      <c r="AF202" t="s">
        <v>3</v>
      </c>
      <c r="AG202">
        <v>2.65</v>
      </c>
      <c r="AH202">
        <v>2</v>
      </c>
      <c r="AI202">
        <v>37600431</v>
      </c>
      <c r="AJ202">
        <v>202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">
      <c r="A203">
        <f>ROW(Source!A311)</f>
        <v>311</v>
      </c>
      <c r="B203">
        <v>37602565</v>
      </c>
      <c r="C203">
        <v>37600430</v>
      </c>
      <c r="D203">
        <v>34187808</v>
      </c>
      <c r="E203">
        <v>1</v>
      </c>
      <c r="F203">
        <v>1</v>
      </c>
      <c r="G203">
        <v>15</v>
      </c>
      <c r="H203">
        <v>2</v>
      </c>
      <c r="I203" t="s">
        <v>309</v>
      </c>
      <c r="J203" t="s">
        <v>310</v>
      </c>
      <c r="K203" t="s">
        <v>311</v>
      </c>
      <c r="L203">
        <v>1368</v>
      </c>
      <c r="N203">
        <v>1011</v>
      </c>
      <c r="O203" t="s">
        <v>219</v>
      </c>
      <c r="P203" t="s">
        <v>219</v>
      </c>
      <c r="Q203">
        <v>1</v>
      </c>
      <c r="X203">
        <v>0.5</v>
      </c>
      <c r="Y203">
        <v>0</v>
      </c>
      <c r="Z203">
        <v>401.44</v>
      </c>
      <c r="AA203">
        <v>272.81</v>
      </c>
      <c r="AB203">
        <v>0</v>
      </c>
      <c r="AC203">
        <v>0</v>
      </c>
      <c r="AD203">
        <v>1</v>
      </c>
      <c r="AE203">
        <v>0</v>
      </c>
      <c r="AF203" t="s">
        <v>3</v>
      </c>
      <c r="AG203">
        <v>0.5</v>
      </c>
      <c r="AH203">
        <v>2</v>
      </c>
      <c r="AI203">
        <v>37600432</v>
      </c>
      <c r="AJ203">
        <v>203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ROW(Source!A311)</f>
        <v>311</v>
      </c>
      <c r="B204">
        <v>37602566</v>
      </c>
      <c r="C204">
        <v>37600430</v>
      </c>
      <c r="D204">
        <v>34188225</v>
      </c>
      <c r="E204">
        <v>1</v>
      </c>
      <c r="F204">
        <v>1</v>
      </c>
      <c r="G204">
        <v>15</v>
      </c>
      <c r="H204">
        <v>2</v>
      </c>
      <c r="I204" t="s">
        <v>318</v>
      </c>
      <c r="J204" t="s">
        <v>319</v>
      </c>
      <c r="K204" t="s">
        <v>320</v>
      </c>
      <c r="L204">
        <v>1368</v>
      </c>
      <c r="N204">
        <v>1011</v>
      </c>
      <c r="O204" t="s">
        <v>219</v>
      </c>
      <c r="P204" t="s">
        <v>219</v>
      </c>
      <c r="Q204">
        <v>1</v>
      </c>
      <c r="X204">
        <v>0.5</v>
      </c>
      <c r="Y204">
        <v>0</v>
      </c>
      <c r="Z204">
        <v>342.24</v>
      </c>
      <c r="AA204">
        <v>296.26</v>
      </c>
      <c r="AB204">
        <v>0</v>
      </c>
      <c r="AC204">
        <v>0</v>
      </c>
      <c r="AD204">
        <v>1</v>
      </c>
      <c r="AE204">
        <v>0</v>
      </c>
      <c r="AF204" t="s">
        <v>3</v>
      </c>
      <c r="AG204">
        <v>0.5</v>
      </c>
      <c r="AH204">
        <v>2</v>
      </c>
      <c r="AI204">
        <v>37600433</v>
      </c>
      <c r="AJ204">
        <v>204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x14ac:dyDescent="0.2">
      <c r="A205">
        <f>ROW(Source!A311)</f>
        <v>311</v>
      </c>
      <c r="B205">
        <v>37602567</v>
      </c>
      <c r="C205">
        <v>37600430</v>
      </c>
      <c r="D205">
        <v>34190888</v>
      </c>
      <c r="E205">
        <v>1</v>
      </c>
      <c r="F205">
        <v>1</v>
      </c>
      <c r="G205">
        <v>15</v>
      </c>
      <c r="H205">
        <v>3</v>
      </c>
      <c r="I205" t="s">
        <v>327</v>
      </c>
      <c r="J205" t="s">
        <v>328</v>
      </c>
      <c r="K205" t="s">
        <v>329</v>
      </c>
      <c r="L205">
        <v>1346</v>
      </c>
      <c r="N205">
        <v>1009</v>
      </c>
      <c r="O205" t="s">
        <v>330</v>
      </c>
      <c r="P205" t="s">
        <v>330</v>
      </c>
      <c r="Q205">
        <v>1</v>
      </c>
      <c r="X205">
        <v>147</v>
      </c>
      <c r="Y205">
        <v>20.03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F205" t="s">
        <v>3</v>
      </c>
      <c r="AG205">
        <v>147</v>
      </c>
      <c r="AH205">
        <v>2</v>
      </c>
      <c r="AI205">
        <v>37600434</v>
      </c>
      <c r="AJ205">
        <v>205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x14ac:dyDescent="0.2">
      <c r="A206">
        <f>ROW(Source!A311)</f>
        <v>311</v>
      </c>
      <c r="B206">
        <v>37602568</v>
      </c>
      <c r="C206">
        <v>37600430</v>
      </c>
      <c r="D206">
        <v>34190895</v>
      </c>
      <c r="E206">
        <v>1</v>
      </c>
      <c r="F206">
        <v>1</v>
      </c>
      <c r="G206">
        <v>15</v>
      </c>
      <c r="H206">
        <v>3</v>
      </c>
      <c r="I206" t="s">
        <v>331</v>
      </c>
      <c r="J206" t="s">
        <v>332</v>
      </c>
      <c r="K206" t="s">
        <v>333</v>
      </c>
      <c r="L206">
        <v>1346</v>
      </c>
      <c r="N206">
        <v>1009</v>
      </c>
      <c r="O206" t="s">
        <v>330</v>
      </c>
      <c r="P206" t="s">
        <v>330</v>
      </c>
      <c r="Q206">
        <v>1</v>
      </c>
      <c r="X206">
        <v>42</v>
      </c>
      <c r="Y206">
        <v>175.18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0</v>
      </c>
      <c r="AF206" t="s">
        <v>3</v>
      </c>
      <c r="AG206">
        <v>42</v>
      </c>
      <c r="AH206">
        <v>2</v>
      </c>
      <c r="AI206">
        <v>37600435</v>
      </c>
      <c r="AJ206">
        <v>206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>
        <f>ROW(Source!A311)</f>
        <v>311</v>
      </c>
      <c r="B207">
        <v>37602569</v>
      </c>
      <c r="C207">
        <v>37600430</v>
      </c>
      <c r="D207">
        <v>34188917</v>
      </c>
      <c r="E207">
        <v>1</v>
      </c>
      <c r="F207">
        <v>1</v>
      </c>
      <c r="G207">
        <v>15</v>
      </c>
      <c r="H207">
        <v>3</v>
      </c>
      <c r="I207" t="s">
        <v>334</v>
      </c>
      <c r="J207" t="s">
        <v>335</v>
      </c>
      <c r="K207" t="s">
        <v>336</v>
      </c>
      <c r="L207">
        <v>1348</v>
      </c>
      <c r="N207">
        <v>1009</v>
      </c>
      <c r="O207" t="s">
        <v>29</v>
      </c>
      <c r="P207" t="s">
        <v>29</v>
      </c>
      <c r="Q207">
        <v>1000</v>
      </c>
      <c r="X207">
        <v>1.0500000000000001E-2</v>
      </c>
      <c r="Y207">
        <v>360260.32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0</v>
      </c>
      <c r="AF207" t="s">
        <v>3</v>
      </c>
      <c r="AG207">
        <v>1.0500000000000001E-2</v>
      </c>
      <c r="AH207">
        <v>2</v>
      </c>
      <c r="AI207">
        <v>37600436</v>
      </c>
      <c r="AJ207">
        <v>207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>
        <f>ROW(Source!A312)</f>
        <v>312</v>
      </c>
      <c r="B208">
        <v>37602570</v>
      </c>
      <c r="C208">
        <v>37600443</v>
      </c>
      <c r="D208">
        <v>34176775</v>
      </c>
      <c r="E208">
        <v>15</v>
      </c>
      <c r="F208">
        <v>1</v>
      </c>
      <c r="G208">
        <v>15</v>
      </c>
      <c r="H208">
        <v>1</v>
      </c>
      <c r="I208" t="s">
        <v>213</v>
      </c>
      <c r="J208" t="s">
        <v>3</v>
      </c>
      <c r="K208" t="s">
        <v>214</v>
      </c>
      <c r="L208">
        <v>1191</v>
      </c>
      <c r="N208">
        <v>1013</v>
      </c>
      <c r="O208" t="s">
        <v>215</v>
      </c>
      <c r="P208" t="s">
        <v>215</v>
      </c>
      <c r="Q208">
        <v>1</v>
      </c>
      <c r="X208">
        <v>0.06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1</v>
      </c>
      <c r="AE208">
        <v>1</v>
      </c>
      <c r="AF208" t="s">
        <v>3</v>
      </c>
      <c r="AG208">
        <v>0.06</v>
      </c>
      <c r="AH208">
        <v>2</v>
      </c>
      <c r="AI208">
        <v>37600444</v>
      </c>
      <c r="AJ208">
        <v>208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2">
      <c r="A209">
        <f>ROW(Source!A312)</f>
        <v>312</v>
      </c>
      <c r="B209">
        <v>37602571</v>
      </c>
      <c r="C209">
        <v>37600443</v>
      </c>
      <c r="D209">
        <v>34188259</v>
      </c>
      <c r="E209">
        <v>1</v>
      </c>
      <c r="F209">
        <v>1</v>
      </c>
      <c r="G209">
        <v>15</v>
      </c>
      <c r="H209">
        <v>2</v>
      </c>
      <c r="I209" t="s">
        <v>337</v>
      </c>
      <c r="J209" t="s">
        <v>338</v>
      </c>
      <c r="K209" t="s">
        <v>339</v>
      </c>
      <c r="L209">
        <v>1368</v>
      </c>
      <c r="N209">
        <v>1011</v>
      </c>
      <c r="O209" t="s">
        <v>219</v>
      </c>
      <c r="P209" t="s">
        <v>219</v>
      </c>
      <c r="Q209">
        <v>1</v>
      </c>
      <c r="X209">
        <v>0.01</v>
      </c>
      <c r="Y209">
        <v>0</v>
      </c>
      <c r="Z209">
        <v>1756.99</v>
      </c>
      <c r="AA209">
        <v>313.11</v>
      </c>
      <c r="AB209">
        <v>0</v>
      </c>
      <c r="AC209">
        <v>0</v>
      </c>
      <c r="AD209">
        <v>1</v>
      </c>
      <c r="AE209">
        <v>0</v>
      </c>
      <c r="AF209" t="s">
        <v>3</v>
      </c>
      <c r="AG209">
        <v>0.01</v>
      </c>
      <c r="AH209">
        <v>2</v>
      </c>
      <c r="AI209">
        <v>37600445</v>
      </c>
      <c r="AJ209">
        <v>209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>
        <f>ROW(Source!A312)</f>
        <v>312</v>
      </c>
      <c r="B210">
        <v>37602572</v>
      </c>
      <c r="C210">
        <v>37600443</v>
      </c>
      <c r="D210">
        <v>34189010</v>
      </c>
      <c r="E210">
        <v>1</v>
      </c>
      <c r="F210">
        <v>1</v>
      </c>
      <c r="G210">
        <v>15</v>
      </c>
      <c r="H210">
        <v>3</v>
      </c>
      <c r="I210" t="s">
        <v>340</v>
      </c>
      <c r="J210" t="s">
        <v>341</v>
      </c>
      <c r="K210" t="s">
        <v>342</v>
      </c>
      <c r="L210">
        <v>1348</v>
      </c>
      <c r="N210">
        <v>1009</v>
      </c>
      <c r="O210" t="s">
        <v>29</v>
      </c>
      <c r="P210" t="s">
        <v>29</v>
      </c>
      <c r="Q210">
        <v>1000</v>
      </c>
      <c r="X210">
        <v>5.2999999999999998E-4</v>
      </c>
      <c r="Y210">
        <v>84127.039999999994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0</v>
      </c>
      <c r="AF210" t="s">
        <v>3</v>
      </c>
      <c r="AG210">
        <v>5.2999999999999998E-4</v>
      </c>
      <c r="AH210">
        <v>2</v>
      </c>
      <c r="AI210">
        <v>37600446</v>
      </c>
      <c r="AJ210">
        <v>210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2">
      <c r="A211">
        <f>ROW(Source!A347)</f>
        <v>347</v>
      </c>
      <c r="B211">
        <v>37602573</v>
      </c>
      <c r="C211">
        <v>37600450</v>
      </c>
      <c r="D211">
        <v>34176775</v>
      </c>
      <c r="E211">
        <v>15</v>
      </c>
      <c r="F211">
        <v>1</v>
      </c>
      <c r="G211">
        <v>15</v>
      </c>
      <c r="H211">
        <v>1</v>
      </c>
      <c r="I211" t="s">
        <v>213</v>
      </c>
      <c r="J211" t="s">
        <v>3</v>
      </c>
      <c r="K211" t="s">
        <v>214</v>
      </c>
      <c r="L211">
        <v>1191</v>
      </c>
      <c r="N211">
        <v>1013</v>
      </c>
      <c r="O211" t="s">
        <v>215</v>
      </c>
      <c r="P211" t="s">
        <v>215</v>
      </c>
      <c r="Q211">
        <v>1</v>
      </c>
      <c r="X211">
        <v>1.05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1</v>
      </c>
      <c r="AF211" t="s">
        <v>3</v>
      </c>
      <c r="AG211">
        <v>1.05</v>
      </c>
      <c r="AH211">
        <v>2</v>
      </c>
      <c r="AI211">
        <v>37600451</v>
      </c>
      <c r="AJ211">
        <v>211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x14ac:dyDescent="0.2">
      <c r="A212">
        <f>ROW(Source!A347)</f>
        <v>347</v>
      </c>
      <c r="B212">
        <v>37602574</v>
      </c>
      <c r="C212">
        <v>37600450</v>
      </c>
      <c r="D212">
        <v>34188481</v>
      </c>
      <c r="E212">
        <v>1</v>
      </c>
      <c r="F212">
        <v>1</v>
      </c>
      <c r="G212">
        <v>15</v>
      </c>
      <c r="H212">
        <v>2</v>
      </c>
      <c r="I212" t="s">
        <v>274</v>
      </c>
      <c r="J212" t="s">
        <v>275</v>
      </c>
      <c r="K212" t="s">
        <v>276</v>
      </c>
      <c r="L212">
        <v>1368</v>
      </c>
      <c r="N212">
        <v>1011</v>
      </c>
      <c r="O212" t="s">
        <v>219</v>
      </c>
      <c r="P212" t="s">
        <v>219</v>
      </c>
      <c r="Q212">
        <v>1</v>
      </c>
      <c r="X212">
        <v>0.82</v>
      </c>
      <c r="Y212">
        <v>0</v>
      </c>
      <c r="Z212">
        <v>770.83</v>
      </c>
      <c r="AA212">
        <v>421.3</v>
      </c>
      <c r="AB212">
        <v>0</v>
      </c>
      <c r="AC212">
        <v>0</v>
      </c>
      <c r="AD212">
        <v>1</v>
      </c>
      <c r="AE212">
        <v>0</v>
      </c>
      <c r="AF212" t="s">
        <v>3</v>
      </c>
      <c r="AG212">
        <v>0.82</v>
      </c>
      <c r="AH212">
        <v>2</v>
      </c>
      <c r="AI212">
        <v>37600452</v>
      </c>
      <c r="AJ212">
        <v>212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">
      <c r="A213">
        <f>ROW(Source!A347)</f>
        <v>347</v>
      </c>
      <c r="B213">
        <v>37602575</v>
      </c>
      <c r="C213">
        <v>37600450</v>
      </c>
      <c r="D213">
        <v>34188505</v>
      </c>
      <c r="E213">
        <v>1</v>
      </c>
      <c r="F213">
        <v>1</v>
      </c>
      <c r="G213">
        <v>15</v>
      </c>
      <c r="H213">
        <v>2</v>
      </c>
      <c r="I213" t="s">
        <v>277</v>
      </c>
      <c r="J213" t="s">
        <v>278</v>
      </c>
      <c r="K213" t="s">
        <v>279</v>
      </c>
      <c r="L213">
        <v>1368</v>
      </c>
      <c r="N213">
        <v>1011</v>
      </c>
      <c r="O213" t="s">
        <v>219</v>
      </c>
      <c r="P213" t="s">
        <v>219</v>
      </c>
      <c r="Q213">
        <v>1</v>
      </c>
      <c r="X213">
        <v>3.54</v>
      </c>
      <c r="Y213">
        <v>0</v>
      </c>
      <c r="Z213">
        <v>1217.8599999999999</v>
      </c>
      <c r="AA213">
        <v>470.88</v>
      </c>
      <c r="AB213">
        <v>0</v>
      </c>
      <c r="AC213">
        <v>0</v>
      </c>
      <c r="AD213">
        <v>1</v>
      </c>
      <c r="AE213">
        <v>0</v>
      </c>
      <c r="AF213" t="s">
        <v>3</v>
      </c>
      <c r="AG213">
        <v>3.54</v>
      </c>
      <c r="AH213">
        <v>2</v>
      </c>
      <c r="AI213">
        <v>37600453</v>
      </c>
      <c r="AJ213">
        <v>213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>
        <f>ROW(Source!A348)</f>
        <v>348</v>
      </c>
      <c r="B214">
        <v>37602576</v>
      </c>
      <c r="C214">
        <v>37600457</v>
      </c>
      <c r="D214">
        <v>34187830</v>
      </c>
      <c r="E214">
        <v>1</v>
      </c>
      <c r="F214">
        <v>1</v>
      </c>
      <c r="G214">
        <v>15</v>
      </c>
      <c r="H214">
        <v>2</v>
      </c>
      <c r="I214" t="s">
        <v>235</v>
      </c>
      <c r="J214" t="s">
        <v>236</v>
      </c>
      <c r="K214" t="s">
        <v>237</v>
      </c>
      <c r="L214">
        <v>1368</v>
      </c>
      <c r="N214">
        <v>1011</v>
      </c>
      <c r="O214" t="s">
        <v>219</v>
      </c>
      <c r="P214" t="s">
        <v>219</v>
      </c>
      <c r="Q214">
        <v>1</v>
      </c>
      <c r="X214">
        <v>3.1E-2</v>
      </c>
      <c r="Y214">
        <v>0</v>
      </c>
      <c r="Z214">
        <v>939.75</v>
      </c>
      <c r="AA214">
        <v>473.4</v>
      </c>
      <c r="AB214">
        <v>0</v>
      </c>
      <c r="AC214">
        <v>0</v>
      </c>
      <c r="AD214">
        <v>1</v>
      </c>
      <c r="AE214">
        <v>0</v>
      </c>
      <c r="AF214" t="s">
        <v>3</v>
      </c>
      <c r="AG214">
        <v>3.1E-2</v>
      </c>
      <c r="AH214">
        <v>2</v>
      </c>
      <c r="AI214">
        <v>37600458</v>
      </c>
      <c r="AJ214">
        <v>214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ROW(Source!A349)</f>
        <v>349</v>
      </c>
      <c r="B215">
        <v>37602577</v>
      </c>
      <c r="C215">
        <v>37600460</v>
      </c>
      <c r="D215">
        <v>34187830</v>
      </c>
      <c r="E215">
        <v>1</v>
      </c>
      <c r="F215">
        <v>1</v>
      </c>
      <c r="G215">
        <v>15</v>
      </c>
      <c r="H215">
        <v>2</v>
      </c>
      <c r="I215" t="s">
        <v>235</v>
      </c>
      <c r="J215" t="s">
        <v>236</v>
      </c>
      <c r="K215" t="s">
        <v>237</v>
      </c>
      <c r="L215">
        <v>1368</v>
      </c>
      <c r="N215">
        <v>1011</v>
      </c>
      <c r="O215" t="s">
        <v>219</v>
      </c>
      <c r="P215" t="s">
        <v>219</v>
      </c>
      <c r="Q215">
        <v>1</v>
      </c>
      <c r="X215">
        <v>0.01</v>
      </c>
      <c r="Y215">
        <v>0</v>
      </c>
      <c r="Z215">
        <v>939.75</v>
      </c>
      <c r="AA215">
        <v>473.4</v>
      </c>
      <c r="AB215">
        <v>0</v>
      </c>
      <c r="AC215">
        <v>0</v>
      </c>
      <c r="AD215">
        <v>1</v>
      </c>
      <c r="AE215">
        <v>0</v>
      </c>
      <c r="AF215" t="s">
        <v>121</v>
      </c>
      <c r="AG215">
        <v>0.26</v>
      </c>
      <c r="AH215">
        <v>2</v>
      </c>
      <c r="AI215">
        <v>37600461</v>
      </c>
      <c r="AJ215">
        <v>215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>
        <f>ROW(Source!A350)</f>
        <v>350</v>
      </c>
      <c r="B216">
        <v>37602578</v>
      </c>
      <c r="C216">
        <v>37600463</v>
      </c>
      <c r="D216">
        <v>34176775</v>
      </c>
      <c r="E216">
        <v>15</v>
      </c>
      <c r="F216">
        <v>1</v>
      </c>
      <c r="G216">
        <v>15</v>
      </c>
      <c r="H216">
        <v>1</v>
      </c>
      <c r="I216" t="s">
        <v>213</v>
      </c>
      <c r="J216" t="s">
        <v>3</v>
      </c>
      <c r="K216" t="s">
        <v>214</v>
      </c>
      <c r="L216">
        <v>1191</v>
      </c>
      <c r="N216">
        <v>1013</v>
      </c>
      <c r="O216" t="s">
        <v>215</v>
      </c>
      <c r="P216" t="s">
        <v>215</v>
      </c>
      <c r="Q216">
        <v>1</v>
      </c>
      <c r="X216">
        <v>16.559999999999999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1</v>
      </c>
      <c r="AF216" t="s">
        <v>3</v>
      </c>
      <c r="AG216">
        <v>16.559999999999999</v>
      </c>
      <c r="AH216">
        <v>2</v>
      </c>
      <c r="AI216">
        <v>37600464</v>
      </c>
      <c r="AJ216">
        <v>216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>
        <f>ROW(Source!A350)</f>
        <v>350</v>
      </c>
      <c r="B217">
        <v>37602579</v>
      </c>
      <c r="C217">
        <v>37600463</v>
      </c>
      <c r="D217">
        <v>34188463</v>
      </c>
      <c r="E217">
        <v>1</v>
      </c>
      <c r="F217">
        <v>1</v>
      </c>
      <c r="G217">
        <v>15</v>
      </c>
      <c r="H217">
        <v>2</v>
      </c>
      <c r="I217" t="s">
        <v>226</v>
      </c>
      <c r="J217" t="s">
        <v>227</v>
      </c>
      <c r="K217" t="s">
        <v>228</v>
      </c>
      <c r="L217">
        <v>1368</v>
      </c>
      <c r="N217">
        <v>1011</v>
      </c>
      <c r="O217" t="s">
        <v>219</v>
      </c>
      <c r="P217" t="s">
        <v>219</v>
      </c>
      <c r="Q217">
        <v>1</v>
      </c>
      <c r="X217">
        <v>2.08</v>
      </c>
      <c r="Y217">
        <v>0</v>
      </c>
      <c r="Z217">
        <v>936.41</v>
      </c>
      <c r="AA217">
        <v>403.45</v>
      </c>
      <c r="AB217">
        <v>0</v>
      </c>
      <c r="AC217">
        <v>0</v>
      </c>
      <c r="AD217">
        <v>1</v>
      </c>
      <c r="AE217">
        <v>0</v>
      </c>
      <c r="AF217" t="s">
        <v>3</v>
      </c>
      <c r="AG217">
        <v>2.08</v>
      </c>
      <c r="AH217">
        <v>2</v>
      </c>
      <c r="AI217">
        <v>37600465</v>
      </c>
      <c r="AJ217">
        <v>217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>
        <f>ROW(Source!A350)</f>
        <v>350</v>
      </c>
      <c r="B218">
        <v>37602580</v>
      </c>
      <c r="C218">
        <v>37600463</v>
      </c>
      <c r="D218">
        <v>34188306</v>
      </c>
      <c r="E218">
        <v>1</v>
      </c>
      <c r="F218">
        <v>1</v>
      </c>
      <c r="G218">
        <v>15</v>
      </c>
      <c r="H218">
        <v>2</v>
      </c>
      <c r="I218" t="s">
        <v>238</v>
      </c>
      <c r="J218" t="s">
        <v>239</v>
      </c>
      <c r="K218" t="s">
        <v>240</v>
      </c>
      <c r="L218">
        <v>1368</v>
      </c>
      <c r="N218">
        <v>1011</v>
      </c>
      <c r="O218" t="s">
        <v>219</v>
      </c>
      <c r="P218" t="s">
        <v>219</v>
      </c>
      <c r="Q218">
        <v>1</v>
      </c>
      <c r="X218">
        <v>2.08</v>
      </c>
      <c r="Y218">
        <v>0</v>
      </c>
      <c r="Z218">
        <v>354.92</v>
      </c>
      <c r="AA218">
        <v>157.22999999999999</v>
      </c>
      <c r="AB218">
        <v>0</v>
      </c>
      <c r="AC218">
        <v>0</v>
      </c>
      <c r="AD218">
        <v>1</v>
      </c>
      <c r="AE218">
        <v>0</v>
      </c>
      <c r="AF218" t="s">
        <v>3</v>
      </c>
      <c r="AG218">
        <v>2.08</v>
      </c>
      <c r="AH218">
        <v>2</v>
      </c>
      <c r="AI218">
        <v>37600466</v>
      </c>
      <c r="AJ218">
        <v>218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x14ac:dyDescent="0.2">
      <c r="A219">
        <f>ROW(Source!A350)</f>
        <v>350</v>
      </c>
      <c r="B219">
        <v>37602581</v>
      </c>
      <c r="C219">
        <v>37600463</v>
      </c>
      <c r="D219">
        <v>34188303</v>
      </c>
      <c r="E219">
        <v>1</v>
      </c>
      <c r="F219">
        <v>1</v>
      </c>
      <c r="G219">
        <v>15</v>
      </c>
      <c r="H219">
        <v>2</v>
      </c>
      <c r="I219" t="s">
        <v>241</v>
      </c>
      <c r="J219" t="s">
        <v>242</v>
      </c>
      <c r="K219" t="s">
        <v>243</v>
      </c>
      <c r="L219">
        <v>1368</v>
      </c>
      <c r="N219">
        <v>1011</v>
      </c>
      <c r="O219" t="s">
        <v>219</v>
      </c>
      <c r="P219" t="s">
        <v>219</v>
      </c>
      <c r="Q219">
        <v>1</v>
      </c>
      <c r="X219">
        <v>0.81</v>
      </c>
      <c r="Y219">
        <v>0</v>
      </c>
      <c r="Z219">
        <v>1527.34</v>
      </c>
      <c r="AA219">
        <v>334.88</v>
      </c>
      <c r="AB219">
        <v>0</v>
      </c>
      <c r="AC219">
        <v>0</v>
      </c>
      <c r="AD219">
        <v>1</v>
      </c>
      <c r="AE219">
        <v>0</v>
      </c>
      <c r="AF219" t="s">
        <v>3</v>
      </c>
      <c r="AG219">
        <v>0.81</v>
      </c>
      <c r="AH219">
        <v>2</v>
      </c>
      <c r="AI219">
        <v>37600467</v>
      </c>
      <c r="AJ219">
        <v>219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ROW(Source!A350)</f>
        <v>350</v>
      </c>
      <c r="B220">
        <v>37602582</v>
      </c>
      <c r="C220">
        <v>37600463</v>
      </c>
      <c r="D220">
        <v>34188265</v>
      </c>
      <c r="E220">
        <v>1</v>
      </c>
      <c r="F220">
        <v>1</v>
      </c>
      <c r="G220">
        <v>15</v>
      </c>
      <c r="H220">
        <v>2</v>
      </c>
      <c r="I220" t="s">
        <v>223</v>
      </c>
      <c r="J220" t="s">
        <v>224</v>
      </c>
      <c r="K220" t="s">
        <v>225</v>
      </c>
      <c r="L220">
        <v>1368</v>
      </c>
      <c r="N220">
        <v>1011</v>
      </c>
      <c r="O220" t="s">
        <v>219</v>
      </c>
      <c r="P220" t="s">
        <v>219</v>
      </c>
      <c r="Q220">
        <v>1</v>
      </c>
      <c r="X220">
        <v>1.94</v>
      </c>
      <c r="Y220">
        <v>0</v>
      </c>
      <c r="Z220">
        <v>1142.6300000000001</v>
      </c>
      <c r="AA220">
        <v>468.35</v>
      </c>
      <c r="AB220">
        <v>0</v>
      </c>
      <c r="AC220">
        <v>0</v>
      </c>
      <c r="AD220">
        <v>1</v>
      </c>
      <c r="AE220">
        <v>0</v>
      </c>
      <c r="AF220" t="s">
        <v>3</v>
      </c>
      <c r="AG220">
        <v>1.94</v>
      </c>
      <c r="AH220">
        <v>2</v>
      </c>
      <c r="AI220">
        <v>37600468</v>
      </c>
      <c r="AJ220">
        <v>220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ROW(Source!A350)</f>
        <v>350</v>
      </c>
      <c r="B221">
        <v>37602583</v>
      </c>
      <c r="C221">
        <v>37600463</v>
      </c>
      <c r="D221">
        <v>34188313</v>
      </c>
      <c r="E221">
        <v>1</v>
      </c>
      <c r="F221">
        <v>1</v>
      </c>
      <c r="G221">
        <v>15</v>
      </c>
      <c r="H221">
        <v>2</v>
      </c>
      <c r="I221" t="s">
        <v>244</v>
      </c>
      <c r="J221" t="s">
        <v>245</v>
      </c>
      <c r="K221" t="s">
        <v>246</v>
      </c>
      <c r="L221">
        <v>1368</v>
      </c>
      <c r="N221">
        <v>1011</v>
      </c>
      <c r="O221" t="s">
        <v>219</v>
      </c>
      <c r="P221" t="s">
        <v>219</v>
      </c>
      <c r="Q221">
        <v>1</v>
      </c>
      <c r="X221">
        <v>0.65</v>
      </c>
      <c r="Y221">
        <v>0</v>
      </c>
      <c r="Z221">
        <v>1590.37</v>
      </c>
      <c r="AA221">
        <v>497.81</v>
      </c>
      <c r="AB221">
        <v>0</v>
      </c>
      <c r="AC221">
        <v>0</v>
      </c>
      <c r="AD221">
        <v>1</v>
      </c>
      <c r="AE221">
        <v>0</v>
      </c>
      <c r="AF221" t="s">
        <v>3</v>
      </c>
      <c r="AG221">
        <v>0.65</v>
      </c>
      <c r="AH221">
        <v>2</v>
      </c>
      <c r="AI221">
        <v>37600469</v>
      </c>
      <c r="AJ221">
        <v>221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ROW(Source!A350)</f>
        <v>350</v>
      </c>
      <c r="B222">
        <v>37602584</v>
      </c>
      <c r="C222">
        <v>37600463</v>
      </c>
      <c r="D222">
        <v>34189650</v>
      </c>
      <c r="E222">
        <v>1</v>
      </c>
      <c r="F222">
        <v>1</v>
      </c>
      <c r="G222">
        <v>15</v>
      </c>
      <c r="H222">
        <v>3</v>
      </c>
      <c r="I222" t="s">
        <v>247</v>
      </c>
      <c r="J222" t="s">
        <v>248</v>
      </c>
      <c r="K222" t="s">
        <v>249</v>
      </c>
      <c r="L222">
        <v>1339</v>
      </c>
      <c r="N222">
        <v>1007</v>
      </c>
      <c r="O222" t="s">
        <v>115</v>
      </c>
      <c r="P222" t="s">
        <v>115</v>
      </c>
      <c r="Q222">
        <v>1</v>
      </c>
      <c r="X222">
        <v>110</v>
      </c>
      <c r="Y222">
        <v>559.23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0</v>
      </c>
      <c r="AF222" t="s">
        <v>3</v>
      </c>
      <c r="AG222">
        <v>110</v>
      </c>
      <c r="AH222">
        <v>2</v>
      </c>
      <c r="AI222">
        <v>37600470</v>
      </c>
      <c r="AJ222">
        <v>222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">
      <c r="A223">
        <f>ROW(Source!A350)</f>
        <v>350</v>
      </c>
      <c r="B223">
        <v>37602585</v>
      </c>
      <c r="C223">
        <v>37600463</v>
      </c>
      <c r="D223">
        <v>34190363</v>
      </c>
      <c r="E223">
        <v>1</v>
      </c>
      <c r="F223">
        <v>1</v>
      </c>
      <c r="G223">
        <v>15</v>
      </c>
      <c r="H223">
        <v>3</v>
      </c>
      <c r="I223" t="s">
        <v>250</v>
      </c>
      <c r="J223" t="s">
        <v>251</v>
      </c>
      <c r="K223" t="s">
        <v>252</v>
      </c>
      <c r="L223">
        <v>1339</v>
      </c>
      <c r="N223">
        <v>1007</v>
      </c>
      <c r="O223" t="s">
        <v>115</v>
      </c>
      <c r="P223" t="s">
        <v>115</v>
      </c>
      <c r="Q223">
        <v>1</v>
      </c>
      <c r="X223">
        <v>5</v>
      </c>
      <c r="Y223">
        <v>28.77</v>
      </c>
      <c r="Z223">
        <v>0</v>
      </c>
      <c r="AA223">
        <v>0</v>
      </c>
      <c r="AB223">
        <v>0</v>
      </c>
      <c r="AC223">
        <v>0</v>
      </c>
      <c r="AD223">
        <v>1</v>
      </c>
      <c r="AE223">
        <v>0</v>
      </c>
      <c r="AF223" t="s">
        <v>3</v>
      </c>
      <c r="AG223">
        <v>5</v>
      </c>
      <c r="AH223">
        <v>2</v>
      </c>
      <c r="AI223">
        <v>37600471</v>
      </c>
      <c r="AJ223">
        <v>223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">
      <c r="A224">
        <f>ROW(Source!A351)</f>
        <v>351</v>
      </c>
      <c r="B224">
        <v>37602586</v>
      </c>
      <c r="C224">
        <v>37600480</v>
      </c>
      <c r="D224">
        <v>34176775</v>
      </c>
      <c r="E224">
        <v>15</v>
      </c>
      <c r="F224">
        <v>1</v>
      </c>
      <c r="G224">
        <v>15</v>
      </c>
      <c r="H224">
        <v>1</v>
      </c>
      <c r="I224" t="s">
        <v>213</v>
      </c>
      <c r="J224" t="s">
        <v>3</v>
      </c>
      <c r="K224" t="s">
        <v>214</v>
      </c>
      <c r="L224">
        <v>1191</v>
      </c>
      <c r="N224">
        <v>1013</v>
      </c>
      <c r="O224" t="s">
        <v>215</v>
      </c>
      <c r="P224" t="s">
        <v>215</v>
      </c>
      <c r="Q224">
        <v>1</v>
      </c>
      <c r="X224">
        <v>24.84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1</v>
      </c>
      <c r="AE224">
        <v>1</v>
      </c>
      <c r="AF224" t="s">
        <v>3</v>
      </c>
      <c r="AG224">
        <v>24.84</v>
      </c>
      <c r="AH224">
        <v>2</v>
      </c>
      <c r="AI224">
        <v>37600481</v>
      </c>
      <c r="AJ224">
        <v>224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ROW(Source!A351)</f>
        <v>351</v>
      </c>
      <c r="B225">
        <v>37602587</v>
      </c>
      <c r="C225">
        <v>37600480</v>
      </c>
      <c r="D225">
        <v>34188482</v>
      </c>
      <c r="E225">
        <v>1</v>
      </c>
      <c r="F225">
        <v>1</v>
      </c>
      <c r="G225">
        <v>15</v>
      </c>
      <c r="H225">
        <v>2</v>
      </c>
      <c r="I225" t="s">
        <v>253</v>
      </c>
      <c r="J225" t="s">
        <v>254</v>
      </c>
      <c r="K225" t="s">
        <v>255</v>
      </c>
      <c r="L225">
        <v>1368</v>
      </c>
      <c r="N225">
        <v>1011</v>
      </c>
      <c r="O225" t="s">
        <v>219</v>
      </c>
      <c r="P225" t="s">
        <v>219</v>
      </c>
      <c r="Q225">
        <v>1</v>
      </c>
      <c r="X225">
        <v>2.94</v>
      </c>
      <c r="Y225">
        <v>0</v>
      </c>
      <c r="Z225">
        <v>711.82</v>
      </c>
      <c r="AA225">
        <v>363.48</v>
      </c>
      <c r="AB225">
        <v>0</v>
      </c>
      <c r="AC225">
        <v>0</v>
      </c>
      <c r="AD225">
        <v>1</v>
      </c>
      <c r="AE225">
        <v>0</v>
      </c>
      <c r="AF225" t="s">
        <v>3</v>
      </c>
      <c r="AG225">
        <v>2.94</v>
      </c>
      <c r="AH225">
        <v>2</v>
      </c>
      <c r="AI225">
        <v>37600482</v>
      </c>
      <c r="AJ225">
        <v>225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">
      <c r="A226">
        <f>ROW(Source!A351)</f>
        <v>351</v>
      </c>
      <c r="B226">
        <v>37602588</v>
      </c>
      <c r="C226">
        <v>37600480</v>
      </c>
      <c r="D226">
        <v>34188303</v>
      </c>
      <c r="E226">
        <v>1</v>
      </c>
      <c r="F226">
        <v>1</v>
      </c>
      <c r="G226">
        <v>15</v>
      </c>
      <c r="H226">
        <v>2</v>
      </c>
      <c r="I226" t="s">
        <v>241</v>
      </c>
      <c r="J226" t="s">
        <v>242</v>
      </c>
      <c r="K226" t="s">
        <v>243</v>
      </c>
      <c r="L226">
        <v>1368</v>
      </c>
      <c r="N226">
        <v>1011</v>
      </c>
      <c r="O226" t="s">
        <v>219</v>
      </c>
      <c r="P226" t="s">
        <v>219</v>
      </c>
      <c r="Q226">
        <v>1</v>
      </c>
      <c r="X226">
        <v>1.1399999999999999</v>
      </c>
      <c r="Y226">
        <v>0</v>
      </c>
      <c r="Z226">
        <v>1527.34</v>
      </c>
      <c r="AA226">
        <v>334.88</v>
      </c>
      <c r="AB226">
        <v>0</v>
      </c>
      <c r="AC226">
        <v>0</v>
      </c>
      <c r="AD226">
        <v>1</v>
      </c>
      <c r="AE226">
        <v>0</v>
      </c>
      <c r="AF226" t="s">
        <v>3</v>
      </c>
      <c r="AG226">
        <v>1.1399999999999999</v>
      </c>
      <c r="AH226">
        <v>2</v>
      </c>
      <c r="AI226">
        <v>37600483</v>
      </c>
      <c r="AJ226">
        <v>226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ROW(Source!A351)</f>
        <v>351</v>
      </c>
      <c r="B227">
        <v>37602589</v>
      </c>
      <c r="C227">
        <v>37600480</v>
      </c>
      <c r="D227">
        <v>34188322</v>
      </c>
      <c r="E227">
        <v>1</v>
      </c>
      <c r="F227">
        <v>1</v>
      </c>
      <c r="G227">
        <v>15</v>
      </c>
      <c r="H227">
        <v>2</v>
      </c>
      <c r="I227" t="s">
        <v>256</v>
      </c>
      <c r="J227" t="s">
        <v>257</v>
      </c>
      <c r="K227" t="s">
        <v>258</v>
      </c>
      <c r="L227">
        <v>1368</v>
      </c>
      <c r="N227">
        <v>1011</v>
      </c>
      <c r="O227" t="s">
        <v>219</v>
      </c>
      <c r="P227" t="s">
        <v>219</v>
      </c>
      <c r="Q227">
        <v>1</v>
      </c>
      <c r="X227">
        <v>8.9600000000000009</v>
      </c>
      <c r="Y227">
        <v>0</v>
      </c>
      <c r="Z227">
        <v>984.76</v>
      </c>
      <c r="AA227">
        <v>387.07</v>
      </c>
      <c r="AB227">
        <v>0</v>
      </c>
      <c r="AC227">
        <v>0</v>
      </c>
      <c r="AD227">
        <v>1</v>
      </c>
      <c r="AE227">
        <v>0</v>
      </c>
      <c r="AF227" t="s">
        <v>3</v>
      </c>
      <c r="AG227">
        <v>8.9600000000000009</v>
      </c>
      <c r="AH227">
        <v>2</v>
      </c>
      <c r="AI227">
        <v>37600484</v>
      </c>
      <c r="AJ227">
        <v>227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ROW(Source!A351)</f>
        <v>351</v>
      </c>
      <c r="B228">
        <v>37602590</v>
      </c>
      <c r="C228">
        <v>37600480</v>
      </c>
      <c r="D228">
        <v>34188321</v>
      </c>
      <c r="E228">
        <v>1</v>
      </c>
      <c r="F228">
        <v>1</v>
      </c>
      <c r="G228">
        <v>15</v>
      </c>
      <c r="H228">
        <v>2</v>
      </c>
      <c r="I228" t="s">
        <v>259</v>
      </c>
      <c r="J228" t="s">
        <v>260</v>
      </c>
      <c r="K228" t="s">
        <v>261</v>
      </c>
      <c r="L228">
        <v>1368</v>
      </c>
      <c r="N228">
        <v>1011</v>
      </c>
      <c r="O228" t="s">
        <v>219</v>
      </c>
      <c r="P228" t="s">
        <v>219</v>
      </c>
      <c r="Q228">
        <v>1</v>
      </c>
      <c r="X228">
        <v>18.25</v>
      </c>
      <c r="Y228">
        <v>0</v>
      </c>
      <c r="Z228">
        <v>1482.31</v>
      </c>
      <c r="AA228">
        <v>526.20000000000005</v>
      </c>
      <c r="AB228">
        <v>0</v>
      </c>
      <c r="AC228">
        <v>0</v>
      </c>
      <c r="AD228">
        <v>1</v>
      </c>
      <c r="AE228">
        <v>0</v>
      </c>
      <c r="AF228" t="s">
        <v>3</v>
      </c>
      <c r="AG228">
        <v>18.25</v>
      </c>
      <c r="AH228">
        <v>2</v>
      </c>
      <c r="AI228">
        <v>37600485</v>
      </c>
      <c r="AJ228">
        <v>228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">
      <c r="A229">
        <f>ROW(Source!A351)</f>
        <v>351</v>
      </c>
      <c r="B229">
        <v>37602591</v>
      </c>
      <c r="C229">
        <v>37600480</v>
      </c>
      <c r="D229">
        <v>34188265</v>
      </c>
      <c r="E229">
        <v>1</v>
      </c>
      <c r="F229">
        <v>1</v>
      </c>
      <c r="G229">
        <v>15</v>
      </c>
      <c r="H229">
        <v>2</v>
      </c>
      <c r="I229" t="s">
        <v>223</v>
      </c>
      <c r="J229" t="s">
        <v>224</v>
      </c>
      <c r="K229" t="s">
        <v>225</v>
      </c>
      <c r="L229">
        <v>1368</v>
      </c>
      <c r="N229">
        <v>1011</v>
      </c>
      <c r="O229" t="s">
        <v>219</v>
      </c>
      <c r="P229" t="s">
        <v>219</v>
      </c>
      <c r="Q229">
        <v>1</v>
      </c>
      <c r="X229">
        <v>2.2400000000000002</v>
      </c>
      <c r="Y229">
        <v>0</v>
      </c>
      <c r="Z229">
        <v>1142.6300000000001</v>
      </c>
      <c r="AA229">
        <v>468.35</v>
      </c>
      <c r="AB229">
        <v>0</v>
      </c>
      <c r="AC229">
        <v>0</v>
      </c>
      <c r="AD229">
        <v>1</v>
      </c>
      <c r="AE229">
        <v>0</v>
      </c>
      <c r="AF229" t="s">
        <v>3</v>
      </c>
      <c r="AG229">
        <v>2.2400000000000002</v>
      </c>
      <c r="AH229">
        <v>2</v>
      </c>
      <c r="AI229">
        <v>37600486</v>
      </c>
      <c r="AJ229">
        <v>229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">
      <c r="A230">
        <f>ROW(Source!A351)</f>
        <v>351</v>
      </c>
      <c r="B230">
        <v>37602592</v>
      </c>
      <c r="C230">
        <v>37600480</v>
      </c>
      <c r="D230">
        <v>34188313</v>
      </c>
      <c r="E230">
        <v>1</v>
      </c>
      <c r="F230">
        <v>1</v>
      </c>
      <c r="G230">
        <v>15</v>
      </c>
      <c r="H230">
        <v>2</v>
      </c>
      <c r="I230" t="s">
        <v>244</v>
      </c>
      <c r="J230" t="s">
        <v>245</v>
      </c>
      <c r="K230" t="s">
        <v>246</v>
      </c>
      <c r="L230">
        <v>1368</v>
      </c>
      <c r="N230">
        <v>1011</v>
      </c>
      <c r="O230" t="s">
        <v>219</v>
      </c>
      <c r="P230" t="s">
        <v>219</v>
      </c>
      <c r="Q230">
        <v>1</v>
      </c>
      <c r="X230">
        <v>0.65</v>
      </c>
      <c r="Y230">
        <v>0</v>
      </c>
      <c r="Z230">
        <v>1590.37</v>
      </c>
      <c r="AA230">
        <v>497.81</v>
      </c>
      <c r="AB230">
        <v>0</v>
      </c>
      <c r="AC230">
        <v>0</v>
      </c>
      <c r="AD230">
        <v>1</v>
      </c>
      <c r="AE230">
        <v>0</v>
      </c>
      <c r="AF230" t="s">
        <v>3</v>
      </c>
      <c r="AG230">
        <v>0.65</v>
      </c>
      <c r="AH230">
        <v>2</v>
      </c>
      <c r="AI230">
        <v>37600487</v>
      </c>
      <c r="AJ230">
        <v>230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x14ac:dyDescent="0.2">
      <c r="A231">
        <f>ROW(Source!A351)</f>
        <v>351</v>
      </c>
      <c r="B231">
        <v>37602593</v>
      </c>
      <c r="C231">
        <v>37600480</v>
      </c>
      <c r="D231">
        <v>34189676</v>
      </c>
      <c r="E231">
        <v>1</v>
      </c>
      <c r="F231">
        <v>1</v>
      </c>
      <c r="G231">
        <v>15</v>
      </c>
      <c r="H231">
        <v>3</v>
      </c>
      <c r="I231" t="s">
        <v>262</v>
      </c>
      <c r="J231" t="s">
        <v>263</v>
      </c>
      <c r="K231" t="s">
        <v>264</v>
      </c>
      <c r="L231">
        <v>1339</v>
      </c>
      <c r="N231">
        <v>1007</v>
      </c>
      <c r="O231" t="s">
        <v>115</v>
      </c>
      <c r="P231" t="s">
        <v>115</v>
      </c>
      <c r="Q231">
        <v>1</v>
      </c>
      <c r="X231">
        <v>126</v>
      </c>
      <c r="Y231">
        <v>1910.98</v>
      </c>
      <c r="Z231">
        <v>0</v>
      </c>
      <c r="AA231">
        <v>0</v>
      </c>
      <c r="AB231">
        <v>0</v>
      </c>
      <c r="AC231">
        <v>0</v>
      </c>
      <c r="AD231">
        <v>1</v>
      </c>
      <c r="AE231">
        <v>0</v>
      </c>
      <c r="AF231" t="s">
        <v>3</v>
      </c>
      <c r="AG231">
        <v>126</v>
      </c>
      <c r="AH231">
        <v>2</v>
      </c>
      <c r="AI231">
        <v>37600488</v>
      </c>
      <c r="AJ231">
        <v>231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 x14ac:dyDescent="0.2">
      <c r="A232">
        <f>ROW(Source!A351)</f>
        <v>351</v>
      </c>
      <c r="B232">
        <v>37602594</v>
      </c>
      <c r="C232">
        <v>37600480</v>
      </c>
      <c r="D232">
        <v>34190363</v>
      </c>
      <c r="E232">
        <v>1</v>
      </c>
      <c r="F232">
        <v>1</v>
      </c>
      <c r="G232">
        <v>15</v>
      </c>
      <c r="H232">
        <v>3</v>
      </c>
      <c r="I232" t="s">
        <v>250</v>
      </c>
      <c r="J232" t="s">
        <v>251</v>
      </c>
      <c r="K232" t="s">
        <v>252</v>
      </c>
      <c r="L232">
        <v>1339</v>
      </c>
      <c r="N232">
        <v>1007</v>
      </c>
      <c r="O232" t="s">
        <v>115</v>
      </c>
      <c r="P232" t="s">
        <v>115</v>
      </c>
      <c r="Q232">
        <v>1</v>
      </c>
      <c r="X232">
        <v>7</v>
      </c>
      <c r="Y232">
        <v>28.77</v>
      </c>
      <c r="Z232">
        <v>0</v>
      </c>
      <c r="AA232">
        <v>0</v>
      </c>
      <c r="AB232">
        <v>0</v>
      </c>
      <c r="AC232">
        <v>0</v>
      </c>
      <c r="AD232">
        <v>1</v>
      </c>
      <c r="AE232">
        <v>0</v>
      </c>
      <c r="AF232" t="s">
        <v>3</v>
      </c>
      <c r="AG232">
        <v>7</v>
      </c>
      <c r="AH232">
        <v>2</v>
      </c>
      <c r="AI232">
        <v>37600489</v>
      </c>
      <c r="AJ232">
        <v>232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x14ac:dyDescent="0.2">
      <c r="A233">
        <f>ROW(Source!A352)</f>
        <v>352</v>
      </c>
      <c r="B233">
        <v>37602595</v>
      </c>
      <c r="C233">
        <v>37600499</v>
      </c>
      <c r="D233">
        <v>34176775</v>
      </c>
      <c r="E233">
        <v>15</v>
      </c>
      <c r="F233">
        <v>1</v>
      </c>
      <c r="G233">
        <v>15</v>
      </c>
      <c r="H233">
        <v>1</v>
      </c>
      <c r="I233" t="s">
        <v>213</v>
      </c>
      <c r="J233" t="s">
        <v>3</v>
      </c>
      <c r="K233" t="s">
        <v>214</v>
      </c>
      <c r="L233">
        <v>1191</v>
      </c>
      <c r="N233">
        <v>1013</v>
      </c>
      <c r="O233" t="s">
        <v>215</v>
      </c>
      <c r="P233" t="s">
        <v>215</v>
      </c>
      <c r="Q233">
        <v>1</v>
      </c>
      <c r="X233">
        <v>13.57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1</v>
      </c>
      <c r="AE233">
        <v>1</v>
      </c>
      <c r="AF233" t="s">
        <v>3</v>
      </c>
      <c r="AG233">
        <v>13.57</v>
      </c>
      <c r="AH233">
        <v>2</v>
      </c>
      <c r="AI233">
        <v>37600500</v>
      </c>
      <c r="AJ233">
        <v>233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x14ac:dyDescent="0.2">
      <c r="A234">
        <f>ROW(Source!A352)</f>
        <v>352</v>
      </c>
      <c r="B234">
        <v>37602596</v>
      </c>
      <c r="C234">
        <v>37600499</v>
      </c>
      <c r="D234">
        <v>34188316</v>
      </c>
      <c r="E234">
        <v>1</v>
      </c>
      <c r="F234">
        <v>1</v>
      </c>
      <c r="G234">
        <v>15</v>
      </c>
      <c r="H234">
        <v>2</v>
      </c>
      <c r="I234" t="s">
        <v>265</v>
      </c>
      <c r="J234" t="s">
        <v>266</v>
      </c>
      <c r="K234" t="s">
        <v>267</v>
      </c>
      <c r="L234">
        <v>1368</v>
      </c>
      <c r="N234">
        <v>1011</v>
      </c>
      <c r="O234" t="s">
        <v>219</v>
      </c>
      <c r="P234" t="s">
        <v>219</v>
      </c>
      <c r="Q234">
        <v>1</v>
      </c>
      <c r="X234">
        <v>0.46</v>
      </c>
      <c r="Y234">
        <v>0</v>
      </c>
      <c r="Z234">
        <v>628.07000000000005</v>
      </c>
      <c r="AA234">
        <v>377.51</v>
      </c>
      <c r="AB234">
        <v>0</v>
      </c>
      <c r="AC234">
        <v>0</v>
      </c>
      <c r="AD234">
        <v>1</v>
      </c>
      <c r="AE234">
        <v>0</v>
      </c>
      <c r="AF234" t="s">
        <v>3</v>
      </c>
      <c r="AG234">
        <v>0.46</v>
      </c>
      <c r="AH234">
        <v>2</v>
      </c>
      <c r="AI234">
        <v>37600501</v>
      </c>
      <c r="AJ234">
        <v>234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x14ac:dyDescent="0.2">
      <c r="A235">
        <f>ROW(Source!A352)</f>
        <v>352</v>
      </c>
      <c r="B235">
        <v>37602597</v>
      </c>
      <c r="C235">
        <v>37600499</v>
      </c>
      <c r="D235">
        <v>34188315</v>
      </c>
      <c r="E235">
        <v>1</v>
      </c>
      <c r="F235">
        <v>1</v>
      </c>
      <c r="G235">
        <v>15</v>
      </c>
      <c r="H235">
        <v>2</v>
      </c>
      <c r="I235" t="s">
        <v>268</v>
      </c>
      <c r="J235" t="s">
        <v>269</v>
      </c>
      <c r="K235" t="s">
        <v>270</v>
      </c>
      <c r="L235">
        <v>1368</v>
      </c>
      <c r="N235">
        <v>1011</v>
      </c>
      <c r="O235" t="s">
        <v>219</v>
      </c>
      <c r="P235" t="s">
        <v>219</v>
      </c>
      <c r="Q235">
        <v>1</v>
      </c>
      <c r="X235">
        <v>1.39</v>
      </c>
      <c r="Y235">
        <v>0</v>
      </c>
      <c r="Z235">
        <v>681</v>
      </c>
      <c r="AA235">
        <v>389.98</v>
      </c>
      <c r="AB235">
        <v>0</v>
      </c>
      <c r="AC235">
        <v>0</v>
      </c>
      <c r="AD235">
        <v>1</v>
      </c>
      <c r="AE235">
        <v>0</v>
      </c>
      <c r="AF235" t="s">
        <v>3</v>
      </c>
      <c r="AG235">
        <v>1.39</v>
      </c>
      <c r="AH235">
        <v>2</v>
      </c>
      <c r="AI235">
        <v>37600502</v>
      </c>
      <c r="AJ235">
        <v>235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x14ac:dyDescent="0.2">
      <c r="A236">
        <f>ROW(Source!A352)</f>
        <v>352</v>
      </c>
      <c r="B236">
        <v>37602598</v>
      </c>
      <c r="C236">
        <v>37600499</v>
      </c>
      <c r="D236">
        <v>34191424</v>
      </c>
      <c r="E236">
        <v>1</v>
      </c>
      <c r="F236">
        <v>1</v>
      </c>
      <c r="G236">
        <v>15</v>
      </c>
      <c r="H236">
        <v>3</v>
      </c>
      <c r="I236" t="s">
        <v>271</v>
      </c>
      <c r="J236" t="s">
        <v>272</v>
      </c>
      <c r="K236" t="s">
        <v>273</v>
      </c>
      <c r="L236">
        <v>1348</v>
      </c>
      <c r="N236">
        <v>1009</v>
      </c>
      <c r="O236" t="s">
        <v>29</v>
      </c>
      <c r="P236" t="s">
        <v>29</v>
      </c>
      <c r="Q236">
        <v>1000</v>
      </c>
      <c r="X236">
        <v>9.58</v>
      </c>
      <c r="Y236">
        <v>2314.4499999999998</v>
      </c>
      <c r="Z236">
        <v>0</v>
      </c>
      <c r="AA236">
        <v>0</v>
      </c>
      <c r="AB236">
        <v>0</v>
      </c>
      <c r="AC236">
        <v>0</v>
      </c>
      <c r="AD236">
        <v>1</v>
      </c>
      <c r="AE236">
        <v>0</v>
      </c>
      <c r="AF236" t="s">
        <v>54</v>
      </c>
      <c r="AG236">
        <v>11.975</v>
      </c>
      <c r="AH236">
        <v>2</v>
      </c>
      <c r="AI236">
        <v>37600503</v>
      </c>
      <c r="AJ236">
        <v>236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x14ac:dyDescent="0.2">
      <c r="A237">
        <f>ROW(Source!A353)</f>
        <v>353</v>
      </c>
      <c r="B237">
        <v>37602599</v>
      </c>
      <c r="C237">
        <v>37600508</v>
      </c>
      <c r="D237">
        <v>34176775</v>
      </c>
      <c r="E237">
        <v>15</v>
      </c>
      <c r="F237">
        <v>1</v>
      </c>
      <c r="G237">
        <v>15</v>
      </c>
      <c r="H237">
        <v>1</v>
      </c>
      <c r="I237" t="s">
        <v>213</v>
      </c>
      <c r="J237" t="s">
        <v>3</v>
      </c>
      <c r="K237" t="s">
        <v>214</v>
      </c>
      <c r="L237">
        <v>1191</v>
      </c>
      <c r="N237">
        <v>1013</v>
      </c>
      <c r="O237" t="s">
        <v>215</v>
      </c>
      <c r="P237" t="s">
        <v>215</v>
      </c>
      <c r="Q237">
        <v>1</v>
      </c>
      <c r="X237">
        <v>18.440000000000001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1</v>
      </c>
      <c r="AE237">
        <v>1</v>
      </c>
      <c r="AF237" t="s">
        <v>3</v>
      </c>
      <c r="AG237">
        <v>18.440000000000001</v>
      </c>
      <c r="AH237">
        <v>2</v>
      </c>
      <c r="AI237">
        <v>37600509</v>
      </c>
      <c r="AJ237">
        <v>237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 x14ac:dyDescent="0.2">
      <c r="A238">
        <f>ROW(Source!A353)</f>
        <v>353</v>
      </c>
      <c r="B238">
        <v>37602600</v>
      </c>
      <c r="C238">
        <v>37600508</v>
      </c>
      <c r="D238">
        <v>34187808</v>
      </c>
      <c r="E238">
        <v>1</v>
      </c>
      <c r="F238">
        <v>1</v>
      </c>
      <c r="G238">
        <v>15</v>
      </c>
      <c r="H238">
        <v>2</v>
      </c>
      <c r="I238" t="s">
        <v>309</v>
      </c>
      <c r="J238" t="s">
        <v>310</v>
      </c>
      <c r="K238" t="s">
        <v>311</v>
      </c>
      <c r="L238">
        <v>1368</v>
      </c>
      <c r="N238">
        <v>1011</v>
      </c>
      <c r="O238" t="s">
        <v>219</v>
      </c>
      <c r="P238" t="s">
        <v>219</v>
      </c>
      <c r="Q238">
        <v>1</v>
      </c>
      <c r="X238">
        <v>2.64</v>
      </c>
      <c r="Y238">
        <v>0</v>
      </c>
      <c r="Z238">
        <v>401.44</v>
      </c>
      <c r="AA238">
        <v>272.81</v>
      </c>
      <c r="AB238">
        <v>0</v>
      </c>
      <c r="AC238">
        <v>0</v>
      </c>
      <c r="AD238">
        <v>1</v>
      </c>
      <c r="AE238">
        <v>0</v>
      </c>
      <c r="AF238" t="s">
        <v>3</v>
      </c>
      <c r="AG238">
        <v>2.64</v>
      </c>
      <c r="AH238">
        <v>2</v>
      </c>
      <c r="AI238">
        <v>37600510</v>
      </c>
      <c r="AJ238">
        <v>238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 x14ac:dyDescent="0.2">
      <c r="A239">
        <f>ROW(Source!A353)</f>
        <v>353</v>
      </c>
      <c r="B239">
        <v>37602601</v>
      </c>
      <c r="C239">
        <v>37600508</v>
      </c>
      <c r="D239">
        <v>34187761</v>
      </c>
      <c r="E239">
        <v>1</v>
      </c>
      <c r="F239">
        <v>1</v>
      </c>
      <c r="G239">
        <v>15</v>
      </c>
      <c r="H239">
        <v>2</v>
      </c>
      <c r="I239" t="s">
        <v>312</v>
      </c>
      <c r="J239" t="s">
        <v>313</v>
      </c>
      <c r="K239" t="s">
        <v>314</v>
      </c>
      <c r="L239">
        <v>1368</v>
      </c>
      <c r="N239">
        <v>1011</v>
      </c>
      <c r="O239" t="s">
        <v>219</v>
      </c>
      <c r="P239" t="s">
        <v>219</v>
      </c>
      <c r="Q239">
        <v>1</v>
      </c>
      <c r="X239">
        <v>1.18</v>
      </c>
      <c r="Y239">
        <v>0</v>
      </c>
      <c r="Z239">
        <v>6.05</v>
      </c>
      <c r="AA239">
        <v>0.71</v>
      </c>
      <c r="AB239">
        <v>0</v>
      </c>
      <c r="AC239">
        <v>0</v>
      </c>
      <c r="AD239">
        <v>1</v>
      </c>
      <c r="AE239">
        <v>0</v>
      </c>
      <c r="AF239" t="s">
        <v>3</v>
      </c>
      <c r="AG239">
        <v>1.18</v>
      </c>
      <c r="AH239">
        <v>2</v>
      </c>
      <c r="AI239">
        <v>37600511</v>
      </c>
      <c r="AJ239">
        <v>239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x14ac:dyDescent="0.2">
      <c r="A240">
        <f>ROW(Source!A353)</f>
        <v>353</v>
      </c>
      <c r="B240">
        <v>37602602</v>
      </c>
      <c r="C240">
        <v>37600508</v>
      </c>
      <c r="D240">
        <v>34188395</v>
      </c>
      <c r="E240">
        <v>1</v>
      </c>
      <c r="F240">
        <v>1</v>
      </c>
      <c r="G240">
        <v>15</v>
      </c>
      <c r="H240">
        <v>2</v>
      </c>
      <c r="I240" t="s">
        <v>315</v>
      </c>
      <c r="J240" t="s">
        <v>316</v>
      </c>
      <c r="K240" t="s">
        <v>317</v>
      </c>
      <c r="L240">
        <v>1368</v>
      </c>
      <c r="N240">
        <v>1011</v>
      </c>
      <c r="O240" t="s">
        <v>219</v>
      </c>
      <c r="P240" t="s">
        <v>219</v>
      </c>
      <c r="Q240">
        <v>1</v>
      </c>
      <c r="X240">
        <v>0.01</v>
      </c>
      <c r="Y240">
        <v>0</v>
      </c>
      <c r="Z240">
        <v>482.71</v>
      </c>
      <c r="AA240">
        <v>373.38</v>
      </c>
      <c r="AB240">
        <v>0</v>
      </c>
      <c r="AC240">
        <v>0</v>
      </c>
      <c r="AD240">
        <v>1</v>
      </c>
      <c r="AE240">
        <v>0</v>
      </c>
      <c r="AF240" t="s">
        <v>3</v>
      </c>
      <c r="AG240">
        <v>0.01</v>
      </c>
      <c r="AH240">
        <v>2</v>
      </c>
      <c r="AI240">
        <v>37600512</v>
      </c>
      <c r="AJ240">
        <v>240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x14ac:dyDescent="0.2">
      <c r="A241">
        <f>ROW(Source!A353)</f>
        <v>353</v>
      </c>
      <c r="B241">
        <v>37602603</v>
      </c>
      <c r="C241">
        <v>37600508</v>
      </c>
      <c r="D241">
        <v>34188225</v>
      </c>
      <c r="E241">
        <v>1</v>
      </c>
      <c r="F241">
        <v>1</v>
      </c>
      <c r="G241">
        <v>15</v>
      </c>
      <c r="H241">
        <v>2</v>
      </c>
      <c r="I241" t="s">
        <v>318</v>
      </c>
      <c r="J241" t="s">
        <v>319</v>
      </c>
      <c r="K241" t="s">
        <v>320</v>
      </c>
      <c r="L241">
        <v>1368</v>
      </c>
      <c r="N241">
        <v>1011</v>
      </c>
      <c r="O241" t="s">
        <v>219</v>
      </c>
      <c r="P241" t="s">
        <v>219</v>
      </c>
      <c r="Q241">
        <v>1</v>
      </c>
      <c r="X241">
        <v>2.64</v>
      </c>
      <c r="Y241">
        <v>0</v>
      </c>
      <c r="Z241">
        <v>342.24</v>
      </c>
      <c r="AA241">
        <v>296.26</v>
      </c>
      <c r="AB241">
        <v>0</v>
      </c>
      <c r="AC241">
        <v>0</v>
      </c>
      <c r="AD241">
        <v>1</v>
      </c>
      <c r="AE241">
        <v>0</v>
      </c>
      <c r="AF241" t="s">
        <v>3</v>
      </c>
      <c r="AG241">
        <v>2.64</v>
      </c>
      <c r="AH241">
        <v>2</v>
      </c>
      <c r="AI241">
        <v>37600513</v>
      </c>
      <c r="AJ241">
        <v>241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x14ac:dyDescent="0.2">
      <c r="A242">
        <f>ROW(Source!A353)</f>
        <v>353</v>
      </c>
      <c r="B242">
        <v>37602604</v>
      </c>
      <c r="C242">
        <v>37600508</v>
      </c>
      <c r="D242">
        <v>34190584</v>
      </c>
      <c r="E242">
        <v>1</v>
      </c>
      <c r="F242">
        <v>1</v>
      </c>
      <c r="G242">
        <v>15</v>
      </c>
      <c r="H242">
        <v>3</v>
      </c>
      <c r="I242" t="s">
        <v>321</v>
      </c>
      <c r="J242" t="s">
        <v>322</v>
      </c>
      <c r="K242" t="s">
        <v>323</v>
      </c>
      <c r="L242">
        <v>1327</v>
      </c>
      <c r="N242">
        <v>1005</v>
      </c>
      <c r="O242" t="s">
        <v>176</v>
      </c>
      <c r="P242" t="s">
        <v>176</v>
      </c>
      <c r="Q242">
        <v>1</v>
      </c>
      <c r="X242">
        <v>5.6</v>
      </c>
      <c r="Y242">
        <v>12.61</v>
      </c>
      <c r="Z242">
        <v>0</v>
      </c>
      <c r="AA242">
        <v>0</v>
      </c>
      <c r="AB242">
        <v>0</v>
      </c>
      <c r="AC242">
        <v>0</v>
      </c>
      <c r="AD242">
        <v>1</v>
      </c>
      <c r="AE242">
        <v>0</v>
      </c>
      <c r="AF242" t="s">
        <v>3</v>
      </c>
      <c r="AG242">
        <v>5.6</v>
      </c>
      <c r="AH242">
        <v>2</v>
      </c>
      <c r="AI242">
        <v>37600514</v>
      </c>
      <c r="AJ242">
        <v>242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x14ac:dyDescent="0.2">
      <c r="A243">
        <f>ROW(Source!A353)</f>
        <v>353</v>
      </c>
      <c r="B243">
        <v>37602605</v>
      </c>
      <c r="C243">
        <v>37600508</v>
      </c>
      <c r="D243">
        <v>34190671</v>
      </c>
      <c r="E243">
        <v>1</v>
      </c>
      <c r="F243">
        <v>1</v>
      </c>
      <c r="G243">
        <v>15</v>
      </c>
      <c r="H243">
        <v>3</v>
      </c>
      <c r="I243" t="s">
        <v>324</v>
      </c>
      <c r="J243" t="s">
        <v>325</v>
      </c>
      <c r="K243" t="s">
        <v>326</v>
      </c>
      <c r="L243">
        <v>1348</v>
      </c>
      <c r="N243">
        <v>1009</v>
      </c>
      <c r="O243" t="s">
        <v>29</v>
      </c>
      <c r="P243" t="s">
        <v>29</v>
      </c>
      <c r="Q243">
        <v>1000</v>
      </c>
      <c r="X243">
        <v>3.15E-3</v>
      </c>
      <c r="Y243">
        <v>100975.39</v>
      </c>
      <c r="Z243">
        <v>0</v>
      </c>
      <c r="AA243">
        <v>0</v>
      </c>
      <c r="AB243">
        <v>0</v>
      </c>
      <c r="AC243">
        <v>0</v>
      </c>
      <c r="AD243">
        <v>1</v>
      </c>
      <c r="AE243">
        <v>0</v>
      </c>
      <c r="AF243" t="s">
        <v>3</v>
      </c>
      <c r="AG243">
        <v>3.15E-3</v>
      </c>
      <c r="AH243">
        <v>2</v>
      </c>
      <c r="AI243">
        <v>37600515</v>
      </c>
      <c r="AJ243">
        <v>243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x14ac:dyDescent="0.2">
      <c r="A244">
        <f>ROW(Source!A353)</f>
        <v>353</v>
      </c>
      <c r="B244">
        <v>37602606</v>
      </c>
      <c r="C244">
        <v>37600508</v>
      </c>
      <c r="D244">
        <v>34190888</v>
      </c>
      <c r="E244">
        <v>1</v>
      </c>
      <c r="F244">
        <v>1</v>
      </c>
      <c r="G244">
        <v>15</v>
      </c>
      <c r="H244">
        <v>3</v>
      </c>
      <c r="I244" t="s">
        <v>327</v>
      </c>
      <c r="J244" t="s">
        <v>328</v>
      </c>
      <c r="K244" t="s">
        <v>329</v>
      </c>
      <c r="L244">
        <v>1346</v>
      </c>
      <c r="N244">
        <v>1009</v>
      </c>
      <c r="O244" t="s">
        <v>330</v>
      </c>
      <c r="P244" t="s">
        <v>330</v>
      </c>
      <c r="Q244">
        <v>1</v>
      </c>
      <c r="X244">
        <v>735</v>
      </c>
      <c r="Y244">
        <v>20.03</v>
      </c>
      <c r="Z244">
        <v>0</v>
      </c>
      <c r="AA244">
        <v>0</v>
      </c>
      <c r="AB244">
        <v>0</v>
      </c>
      <c r="AC244">
        <v>0</v>
      </c>
      <c r="AD244">
        <v>1</v>
      </c>
      <c r="AE244">
        <v>0</v>
      </c>
      <c r="AF244" t="s">
        <v>3</v>
      </c>
      <c r="AG244">
        <v>735</v>
      </c>
      <c r="AH244">
        <v>2</v>
      </c>
      <c r="AI244">
        <v>37600516</v>
      </c>
      <c r="AJ244">
        <v>244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x14ac:dyDescent="0.2">
      <c r="A245">
        <f>ROW(Source!A353)</f>
        <v>353</v>
      </c>
      <c r="B245">
        <v>37602607</v>
      </c>
      <c r="C245">
        <v>37600508</v>
      </c>
      <c r="D245">
        <v>34190895</v>
      </c>
      <c r="E245">
        <v>1</v>
      </c>
      <c r="F245">
        <v>1</v>
      </c>
      <c r="G245">
        <v>15</v>
      </c>
      <c r="H245">
        <v>3</v>
      </c>
      <c r="I245" t="s">
        <v>331</v>
      </c>
      <c r="J245" t="s">
        <v>332</v>
      </c>
      <c r="K245" t="s">
        <v>333</v>
      </c>
      <c r="L245">
        <v>1346</v>
      </c>
      <c r="N245">
        <v>1009</v>
      </c>
      <c r="O245" t="s">
        <v>330</v>
      </c>
      <c r="P245" t="s">
        <v>330</v>
      </c>
      <c r="Q245">
        <v>1</v>
      </c>
      <c r="X245">
        <v>241.5</v>
      </c>
      <c r="Y245">
        <v>175.18</v>
      </c>
      <c r="Z245">
        <v>0</v>
      </c>
      <c r="AA245">
        <v>0</v>
      </c>
      <c r="AB245">
        <v>0</v>
      </c>
      <c r="AC245">
        <v>0</v>
      </c>
      <c r="AD245">
        <v>1</v>
      </c>
      <c r="AE245">
        <v>0</v>
      </c>
      <c r="AF245" t="s">
        <v>3</v>
      </c>
      <c r="AG245">
        <v>241.5</v>
      </c>
      <c r="AH245">
        <v>2</v>
      </c>
      <c r="AI245">
        <v>37600517</v>
      </c>
      <c r="AJ245">
        <v>245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x14ac:dyDescent="0.2">
      <c r="A246">
        <f>ROW(Source!A353)</f>
        <v>353</v>
      </c>
      <c r="B246">
        <v>37602608</v>
      </c>
      <c r="C246">
        <v>37600508</v>
      </c>
      <c r="D246">
        <v>34188917</v>
      </c>
      <c r="E246">
        <v>1</v>
      </c>
      <c r="F246">
        <v>1</v>
      </c>
      <c r="G246">
        <v>15</v>
      </c>
      <c r="H246">
        <v>3</v>
      </c>
      <c r="I246" t="s">
        <v>334</v>
      </c>
      <c r="J246" t="s">
        <v>335</v>
      </c>
      <c r="K246" t="s">
        <v>336</v>
      </c>
      <c r="L246">
        <v>1348</v>
      </c>
      <c r="N246">
        <v>1009</v>
      </c>
      <c r="O246" t="s">
        <v>29</v>
      </c>
      <c r="P246" t="s">
        <v>29</v>
      </c>
      <c r="Q246">
        <v>1000</v>
      </c>
      <c r="X246">
        <v>5.2499999999999998E-2</v>
      </c>
      <c r="Y246">
        <v>360260.32</v>
      </c>
      <c r="Z246">
        <v>0</v>
      </c>
      <c r="AA246">
        <v>0</v>
      </c>
      <c r="AB246">
        <v>0</v>
      </c>
      <c r="AC246">
        <v>0</v>
      </c>
      <c r="AD246">
        <v>1</v>
      </c>
      <c r="AE246">
        <v>0</v>
      </c>
      <c r="AF246" t="s">
        <v>3</v>
      </c>
      <c r="AG246">
        <v>5.2499999999999998E-2</v>
      </c>
      <c r="AH246">
        <v>2</v>
      </c>
      <c r="AI246">
        <v>37600518</v>
      </c>
      <c r="AJ246">
        <v>246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x14ac:dyDescent="0.2">
      <c r="A247">
        <f>ROW(Source!A354)</f>
        <v>354</v>
      </c>
      <c r="B247">
        <v>37602609</v>
      </c>
      <c r="C247">
        <v>37600529</v>
      </c>
      <c r="D247">
        <v>34176775</v>
      </c>
      <c r="E247">
        <v>15</v>
      </c>
      <c r="F247">
        <v>1</v>
      </c>
      <c r="G247">
        <v>15</v>
      </c>
      <c r="H247">
        <v>1</v>
      </c>
      <c r="I247" t="s">
        <v>213</v>
      </c>
      <c r="J247" t="s">
        <v>3</v>
      </c>
      <c r="K247" t="s">
        <v>214</v>
      </c>
      <c r="L247">
        <v>1191</v>
      </c>
      <c r="N247">
        <v>1013</v>
      </c>
      <c r="O247" t="s">
        <v>215</v>
      </c>
      <c r="P247" t="s">
        <v>215</v>
      </c>
      <c r="Q247">
        <v>1</v>
      </c>
      <c r="X247">
        <v>2.65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1</v>
      </c>
      <c r="AE247">
        <v>1</v>
      </c>
      <c r="AF247" t="s">
        <v>3</v>
      </c>
      <c r="AG247">
        <v>2.65</v>
      </c>
      <c r="AH247">
        <v>2</v>
      </c>
      <c r="AI247">
        <v>37600530</v>
      </c>
      <c r="AJ247">
        <v>247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x14ac:dyDescent="0.2">
      <c r="A248">
        <f>ROW(Source!A354)</f>
        <v>354</v>
      </c>
      <c r="B248">
        <v>37602610</v>
      </c>
      <c r="C248">
        <v>37600529</v>
      </c>
      <c r="D248">
        <v>34187808</v>
      </c>
      <c r="E248">
        <v>1</v>
      </c>
      <c r="F248">
        <v>1</v>
      </c>
      <c r="G248">
        <v>15</v>
      </c>
      <c r="H248">
        <v>2</v>
      </c>
      <c r="I248" t="s">
        <v>309</v>
      </c>
      <c r="J248" t="s">
        <v>310</v>
      </c>
      <c r="K248" t="s">
        <v>311</v>
      </c>
      <c r="L248">
        <v>1368</v>
      </c>
      <c r="N248">
        <v>1011</v>
      </c>
      <c r="O248" t="s">
        <v>219</v>
      </c>
      <c r="P248" t="s">
        <v>219</v>
      </c>
      <c r="Q248">
        <v>1</v>
      </c>
      <c r="X248">
        <v>0.5</v>
      </c>
      <c r="Y248">
        <v>0</v>
      </c>
      <c r="Z248">
        <v>401.44</v>
      </c>
      <c r="AA248">
        <v>272.81</v>
      </c>
      <c r="AB248">
        <v>0</v>
      </c>
      <c r="AC248">
        <v>0</v>
      </c>
      <c r="AD248">
        <v>1</v>
      </c>
      <c r="AE248">
        <v>0</v>
      </c>
      <c r="AF248" t="s">
        <v>3</v>
      </c>
      <c r="AG248">
        <v>0.5</v>
      </c>
      <c r="AH248">
        <v>2</v>
      </c>
      <c r="AI248">
        <v>37600531</v>
      </c>
      <c r="AJ248">
        <v>248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x14ac:dyDescent="0.2">
      <c r="A249">
        <f>ROW(Source!A354)</f>
        <v>354</v>
      </c>
      <c r="B249">
        <v>37602611</v>
      </c>
      <c r="C249">
        <v>37600529</v>
      </c>
      <c r="D249">
        <v>34188225</v>
      </c>
      <c r="E249">
        <v>1</v>
      </c>
      <c r="F249">
        <v>1</v>
      </c>
      <c r="G249">
        <v>15</v>
      </c>
      <c r="H249">
        <v>2</v>
      </c>
      <c r="I249" t="s">
        <v>318</v>
      </c>
      <c r="J249" t="s">
        <v>319</v>
      </c>
      <c r="K249" t="s">
        <v>320</v>
      </c>
      <c r="L249">
        <v>1368</v>
      </c>
      <c r="N249">
        <v>1011</v>
      </c>
      <c r="O249" t="s">
        <v>219</v>
      </c>
      <c r="P249" t="s">
        <v>219</v>
      </c>
      <c r="Q249">
        <v>1</v>
      </c>
      <c r="X249">
        <v>0.5</v>
      </c>
      <c r="Y249">
        <v>0</v>
      </c>
      <c r="Z249">
        <v>342.24</v>
      </c>
      <c r="AA249">
        <v>296.26</v>
      </c>
      <c r="AB249">
        <v>0</v>
      </c>
      <c r="AC249">
        <v>0</v>
      </c>
      <c r="AD249">
        <v>1</v>
      </c>
      <c r="AE249">
        <v>0</v>
      </c>
      <c r="AF249" t="s">
        <v>3</v>
      </c>
      <c r="AG249">
        <v>0.5</v>
      </c>
      <c r="AH249">
        <v>2</v>
      </c>
      <c r="AI249">
        <v>37600532</v>
      </c>
      <c r="AJ249">
        <v>249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x14ac:dyDescent="0.2">
      <c r="A250">
        <f>ROW(Source!A354)</f>
        <v>354</v>
      </c>
      <c r="B250">
        <v>37602612</v>
      </c>
      <c r="C250">
        <v>37600529</v>
      </c>
      <c r="D250">
        <v>34190888</v>
      </c>
      <c r="E250">
        <v>1</v>
      </c>
      <c r="F250">
        <v>1</v>
      </c>
      <c r="G250">
        <v>15</v>
      </c>
      <c r="H250">
        <v>3</v>
      </c>
      <c r="I250" t="s">
        <v>327</v>
      </c>
      <c r="J250" t="s">
        <v>328</v>
      </c>
      <c r="K250" t="s">
        <v>329</v>
      </c>
      <c r="L250">
        <v>1346</v>
      </c>
      <c r="N250">
        <v>1009</v>
      </c>
      <c r="O250" t="s">
        <v>330</v>
      </c>
      <c r="P250" t="s">
        <v>330</v>
      </c>
      <c r="Q250">
        <v>1</v>
      </c>
      <c r="X250">
        <v>147</v>
      </c>
      <c r="Y250">
        <v>20.03</v>
      </c>
      <c r="Z250">
        <v>0</v>
      </c>
      <c r="AA250">
        <v>0</v>
      </c>
      <c r="AB250">
        <v>0</v>
      </c>
      <c r="AC250">
        <v>0</v>
      </c>
      <c r="AD250">
        <v>1</v>
      </c>
      <c r="AE250">
        <v>0</v>
      </c>
      <c r="AF250" t="s">
        <v>3</v>
      </c>
      <c r="AG250">
        <v>147</v>
      </c>
      <c r="AH250">
        <v>2</v>
      </c>
      <c r="AI250">
        <v>37600533</v>
      </c>
      <c r="AJ250">
        <v>250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x14ac:dyDescent="0.2">
      <c r="A251">
        <f>ROW(Source!A354)</f>
        <v>354</v>
      </c>
      <c r="B251">
        <v>37602613</v>
      </c>
      <c r="C251">
        <v>37600529</v>
      </c>
      <c r="D251">
        <v>34190895</v>
      </c>
      <c r="E251">
        <v>1</v>
      </c>
      <c r="F251">
        <v>1</v>
      </c>
      <c r="G251">
        <v>15</v>
      </c>
      <c r="H251">
        <v>3</v>
      </c>
      <c r="I251" t="s">
        <v>331</v>
      </c>
      <c r="J251" t="s">
        <v>332</v>
      </c>
      <c r="K251" t="s">
        <v>333</v>
      </c>
      <c r="L251">
        <v>1346</v>
      </c>
      <c r="N251">
        <v>1009</v>
      </c>
      <c r="O251" t="s">
        <v>330</v>
      </c>
      <c r="P251" t="s">
        <v>330</v>
      </c>
      <c r="Q251">
        <v>1</v>
      </c>
      <c r="X251">
        <v>42</v>
      </c>
      <c r="Y251">
        <v>175.18</v>
      </c>
      <c r="Z251">
        <v>0</v>
      </c>
      <c r="AA251">
        <v>0</v>
      </c>
      <c r="AB251">
        <v>0</v>
      </c>
      <c r="AC251">
        <v>0</v>
      </c>
      <c r="AD251">
        <v>1</v>
      </c>
      <c r="AE251">
        <v>0</v>
      </c>
      <c r="AF251" t="s">
        <v>3</v>
      </c>
      <c r="AG251">
        <v>42</v>
      </c>
      <c r="AH251">
        <v>2</v>
      </c>
      <c r="AI251">
        <v>37600534</v>
      </c>
      <c r="AJ251">
        <v>251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x14ac:dyDescent="0.2">
      <c r="A252">
        <f>ROW(Source!A354)</f>
        <v>354</v>
      </c>
      <c r="B252">
        <v>37602614</v>
      </c>
      <c r="C252">
        <v>37600529</v>
      </c>
      <c r="D252">
        <v>34188917</v>
      </c>
      <c r="E252">
        <v>1</v>
      </c>
      <c r="F252">
        <v>1</v>
      </c>
      <c r="G252">
        <v>15</v>
      </c>
      <c r="H252">
        <v>3</v>
      </c>
      <c r="I252" t="s">
        <v>334</v>
      </c>
      <c r="J252" t="s">
        <v>335</v>
      </c>
      <c r="K252" t="s">
        <v>336</v>
      </c>
      <c r="L252">
        <v>1348</v>
      </c>
      <c r="N252">
        <v>1009</v>
      </c>
      <c r="O252" t="s">
        <v>29</v>
      </c>
      <c r="P252" t="s">
        <v>29</v>
      </c>
      <c r="Q252">
        <v>1000</v>
      </c>
      <c r="X252">
        <v>1.0500000000000001E-2</v>
      </c>
      <c r="Y252">
        <v>360260.32</v>
      </c>
      <c r="Z252">
        <v>0</v>
      </c>
      <c r="AA252">
        <v>0</v>
      </c>
      <c r="AB252">
        <v>0</v>
      </c>
      <c r="AC252">
        <v>0</v>
      </c>
      <c r="AD252">
        <v>1</v>
      </c>
      <c r="AE252">
        <v>0</v>
      </c>
      <c r="AF252" t="s">
        <v>3</v>
      </c>
      <c r="AG252">
        <v>1.0500000000000001E-2</v>
      </c>
      <c r="AH252">
        <v>2</v>
      </c>
      <c r="AI252">
        <v>37600535</v>
      </c>
      <c r="AJ252">
        <v>252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 x14ac:dyDescent="0.2">
      <c r="A253">
        <f>ROW(Source!A355)</f>
        <v>355</v>
      </c>
      <c r="B253">
        <v>37602615</v>
      </c>
      <c r="C253">
        <v>37600542</v>
      </c>
      <c r="D253">
        <v>34176775</v>
      </c>
      <c r="E253">
        <v>15</v>
      </c>
      <c r="F253">
        <v>1</v>
      </c>
      <c r="G253">
        <v>15</v>
      </c>
      <c r="H253">
        <v>1</v>
      </c>
      <c r="I253" t="s">
        <v>213</v>
      </c>
      <c r="J253" t="s">
        <v>3</v>
      </c>
      <c r="K253" t="s">
        <v>214</v>
      </c>
      <c r="L253">
        <v>1191</v>
      </c>
      <c r="N253">
        <v>1013</v>
      </c>
      <c r="O253" t="s">
        <v>215</v>
      </c>
      <c r="P253" t="s">
        <v>215</v>
      </c>
      <c r="Q253">
        <v>1</v>
      </c>
      <c r="X253">
        <v>85.94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1</v>
      </c>
      <c r="AE253">
        <v>1</v>
      </c>
      <c r="AF253" t="s">
        <v>3</v>
      </c>
      <c r="AG253">
        <v>85.94</v>
      </c>
      <c r="AH253">
        <v>2</v>
      </c>
      <c r="AI253">
        <v>37600543</v>
      </c>
      <c r="AJ253">
        <v>253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 x14ac:dyDescent="0.2">
      <c r="A254">
        <f>ROW(Source!A356)</f>
        <v>356</v>
      </c>
      <c r="B254">
        <v>37602616</v>
      </c>
      <c r="C254">
        <v>37600545</v>
      </c>
      <c r="D254">
        <v>34176775</v>
      </c>
      <c r="E254">
        <v>15</v>
      </c>
      <c r="F254">
        <v>1</v>
      </c>
      <c r="G254">
        <v>15</v>
      </c>
      <c r="H254">
        <v>1</v>
      </c>
      <c r="I254" t="s">
        <v>213</v>
      </c>
      <c r="J254" t="s">
        <v>3</v>
      </c>
      <c r="K254" t="s">
        <v>214</v>
      </c>
      <c r="L254">
        <v>1191</v>
      </c>
      <c r="N254">
        <v>1013</v>
      </c>
      <c r="O254" t="s">
        <v>215</v>
      </c>
      <c r="P254" t="s">
        <v>215</v>
      </c>
      <c r="Q254">
        <v>1</v>
      </c>
      <c r="X254">
        <v>16.559999999999999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1</v>
      </c>
      <c r="AE254">
        <v>1</v>
      </c>
      <c r="AF254" t="s">
        <v>3</v>
      </c>
      <c r="AG254">
        <v>16.559999999999999</v>
      </c>
      <c r="AH254">
        <v>2</v>
      </c>
      <c r="AI254">
        <v>37600546</v>
      </c>
      <c r="AJ254">
        <v>254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 x14ac:dyDescent="0.2">
      <c r="A255">
        <f>ROW(Source!A356)</f>
        <v>356</v>
      </c>
      <c r="B255">
        <v>37602617</v>
      </c>
      <c r="C255">
        <v>37600545</v>
      </c>
      <c r="D255">
        <v>34188463</v>
      </c>
      <c r="E255">
        <v>1</v>
      </c>
      <c r="F255">
        <v>1</v>
      </c>
      <c r="G255">
        <v>15</v>
      </c>
      <c r="H255">
        <v>2</v>
      </c>
      <c r="I255" t="s">
        <v>226</v>
      </c>
      <c r="J255" t="s">
        <v>227</v>
      </c>
      <c r="K255" t="s">
        <v>228</v>
      </c>
      <c r="L255">
        <v>1368</v>
      </c>
      <c r="N255">
        <v>1011</v>
      </c>
      <c r="O255" t="s">
        <v>219</v>
      </c>
      <c r="P255" t="s">
        <v>219</v>
      </c>
      <c r="Q255">
        <v>1</v>
      </c>
      <c r="X255">
        <v>2.08</v>
      </c>
      <c r="Y255">
        <v>0</v>
      </c>
      <c r="Z255">
        <v>936.41</v>
      </c>
      <c r="AA255">
        <v>403.45</v>
      </c>
      <c r="AB255">
        <v>0</v>
      </c>
      <c r="AC255">
        <v>0</v>
      </c>
      <c r="AD255">
        <v>1</v>
      </c>
      <c r="AE255">
        <v>0</v>
      </c>
      <c r="AF255" t="s">
        <v>3</v>
      </c>
      <c r="AG255">
        <v>2.08</v>
      </c>
      <c r="AH255">
        <v>2</v>
      </c>
      <c r="AI255">
        <v>37600547</v>
      </c>
      <c r="AJ255">
        <v>255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x14ac:dyDescent="0.2">
      <c r="A256">
        <f>ROW(Source!A356)</f>
        <v>356</v>
      </c>
      <c r="B256">
        <v>37602618</v>
      </c>
      <c r="C256">
        <v>37600545</v>
      </c>
      <c r="D256">
        <v>34188306</v>
      </c>
      <c r="E256">
        <v>1</v>
      </c>
      <c r="F256">
        <v>1</v>
      </c>
      <c r="G256">
        <v>15</v>
      </c>
      <c r="H256">
        <v>2</v>
      </c>
      <c r="I256" t="s">
        <v>238</v>
      </c>
      <c r="J256" t="s">
        <v>239</v>
      </c>
      <c r="K256" t="s">
        <v>240</v>
      </c>
      <c r="L256">
        <v>1368</v>
      </c>
      <c r="N256">
        <v>1011</v>
      </c>
      <c r="O256" t="s">
        <v>219</v>
      </c>
      <c r="P256" t="s">
        <v>219</v>
      </c>
      <c r="Q256">
        <v>1</v>
      </c>
      <c r="X256">
        <v>2.08</v>
      </c>
      <c r="Y256">
        <v>0</v>
      </c>
      <c r="Z256">
        <v>354.92</v>
      </c>
      <c r="AA256">
        <v>157.22999999999999</v>
      </c>
      <c r="AB256">
        <v>0</v>
      </c>
      <c r="AC256">
        <v>0</v>
      </c>
      <c r="AD256">
        <v>1</v>
      </c>
      <c r="AE256">
        <v>0</v>
      </c>
      <c r="AF256" t="s">
        <v>3</v>
      </c>
      <c r="AG256">
        <v>2.08</v>
      </c>
      <c r="AH256">
        <v>2</v>
      </c>
      <c r="AI256">
        <v>37600548</v>
      </c>
      <c r="AJ256">
        <v>256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 x14ac:dyDescent="0.2">
      <c r="A257">
        <f>ROW(Source!A356)</f>
        <v>356</v>
      </c>
      <c r="B257">
        <v>37602619</v>
      </c>
      <c r="C257">
        <v>37600545</v>
      </c>
      <c r="D257">
        <v>34188303</v>
      </c>
      <c r="E257">
        <v>1</v>
      </c>
      <c r="F257">
        <v>1</v>
      </c>
      <c r="G257">
        <v>15</v>
      </c>
      <c r="H257">
        <v>2</v>
      </c>
      <c r="I257" t="s">
        <v>241</v>
      </c>
      <c r="J257" t="s">
        <v>242</v>
      </c>
      <c r="K257" t="s">
        <v>243</v>
      </c>
      <c r="L257">
        <v>1368</v>
      </c>
      <c r="N257">
        <v>1011</v>
      </c>
      <c r="O257" t="s">
        <v>219</v>
      </c>
      <c r="P257" t="s">
        <v>219</v>
      </c>
      <c r="Q257">
        <v>1</v>
      </c>
      <c r="X257">
        <v>0.81</v>
      </c>
      <c r="Y257">
        <v>0</v>
      </c>
      <c r="Z257">
        <v>1527.34</v>
      </c>
      <c r="AA257">
        <v>334.88</v>
      </c>
      <c r="AB257">
        <v>0</v>
      </c>
      <c r="AC257">
        <v>0</v>
      </c>
      <c r="AD257">
        <v>1</v>
      </c>
      <c r="AE257">
        <v>0</v>
      </c>
      <c r="AF257" t="s">
        <v>3</v>
      </c>
      <c r="AG257">
        <v>0.81</v>
      </c>
      <c r="AH257">
        <v>2</v>
      </c>
      <c r="AI257">
        <v>37600549</v>
      </c>
      <c r="AJ257">
        <v>257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 x14ac:dyDescent="0.2">
      <c r="A258">
        <f>ROW(Source!A356)</f>
        <v>356</v>
      </c>
      <c r="B258">
        <v>37602620</v>
      </c>
      <c r="C258">
        <v>37600545</v>
      </c>
      <c r="D258">
        <v>34188265</v>
      </c>
      <c r="E258">
        <v>1</v>
      </c>
      <c r="F258">
        <v>1</v>
      </c>
      <c r="G258">
        <v>15</v>
      </c>
      <c r="H258">
        <v>2</v>
      </c>
      <c r="I258" t="s">
        <v>223</v>
      </c>
      <c r="J258" t="s">
        <v>224</v>
      </c>
      <c r="K258" t="s">
        <v>225</v>
      </c>
      <c r="L258">
        <v>1368</v>
      </c>
      <c r="N258">
        <v>1011</v>
      </c>
      <c r="O258" t="s">
        <v>219</v>
      </c>
      <c r="P258" t="s">
        <v>219</v>
      </c>
      <c r="Q258">
        <v>1</v>
      </c>
      <c r="X258">
        <v>1.94</v>
      </c>
      <c r="Y258">
        <v>0</v>
      </c>
      <c r="Z258">
        <v>1142.6300000000001</v>
      </c>
      <c r="AA258">
        <v>468.35</v>
      </c>
      <c r="AB258">
        <v>0</v>
      </c>
      <c r="AC258">
        <v>0</v>
      </c>
      <c r="AD258">
        <v>1</v>
      </c>
      <c r="AE258">
        <v>0</v>
      </c>
      <c r="AF258" t="s">
        <v>3</v>
      </c>
      <c r="AG258">
        <v>1.94</v>
      </c>
      <c r="AH258">
        <v>2</v>
      </c>
      <c r="AI258">
        <v>37600550</v>
      </c>
      <c r="AJ258">
        <v>258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</row>
    <row r="259" spans="1:44" x14ac:dyDescent="0.2">
      <c r="A259">
        <f>ROW(Source!A356)</f>
        <v>356</v>
      </c>
      <c r="B259">
        <v>37602621</v>
      </c>
      <c r="C259">
        <v>37600545</v>
      </c>
      <c r="D259">
        <v>34188313</v>
      </c>
      <c r="E259">
        <v>1</v>
      </c>
      <c r="F259">
        <v>1</v>
      </c>
      <c r="G259">
        <v>15</v>
      </c>
      <c r="H259">
        <v>2</v>
      </c>
      <c r="I259" t="s">
        <v>244</v>
      </c>
      <c r="J259" t="s">
        <v>245</v>
      </c>
      <c r="K259" t="s">
        <v>246</v>
      </c>
      <c r="L259">
        <v>1368</v>
      </c>
      <c r="N259">
        <v>1011</v>
      </c>
      <c r="O259" t="s">
        <v>219</v>
      </c>
      <c r="P259" t="s">
        <v>219</v>
      </c>
      <c r="Q259">
        <v>1</v>
      </c>
      <c r="X259">
        <v>0.65</v>
      </c>
      <c r="Y259">
        <v>0</v>
      </c>
      <c r="Z259">
        <v>1590.37</v>
      </c>
      <c r="AA259">
        <v>497.81</v>
      </c>
      <c r="AB259">
        <v>0</v>
      </c>
      <c r="AC259">
        <v>0</v>
      </c>
      <c r="AD259">
        <v>1</v>
      </c>
      <c r="AE259">
        <v>0</v>
      </c>
      <c r="AF259" t="s">
        <v>3</v>
      </c>
      <c r="AG259">
        <v>0.65</v>
      </c>
      <c r="AH259">
        <v>2</v>
      </c>
      <c r="AI259">
        <v>37600551</v>
      </c>
      <c r="AJ259">
        <v>259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</row>
    <row r="260" spans="1:44" x14ac:dyDescent="0.2">
      <c r="A260">
        <f>ROW(Source!A356)</f>
        <v>356</v>
      </c>
      <c r="B260">
        <v>37602622</v>
      </c>
      <c r="C260">
        <v>37600545</v>
      </c>
      <c r="D260">
        <v>34189650</v>
      </c>
      <c r="E260">
        <v>1</v>
      </c>
      <c r="F260">
        <v>1</v>
      </c>
      <c r="G260">
        <v>15</v>
      </c>
      <c r="H260">
        <v>3</v>
      </c>
      <c r="I260" t="s">
        <v>247</v>
      </c>
      <c r="J260" t="s">
        <v>248</v>
      </c>
      <c r="K260" t="s">
        <v>249</v>
      </c>
      <c r="L260">
        <v>1339</v>
      </c>
      <c r="N260">
        <v>1007</v>
      </c>
      <c r="O260" t="s">
        <v>115</v>
      </c>
      <c r="P260" t="s">
        <v>115</v>
      </c>
      <c r="Q260">
        <v>1</v>
      </c>
      <c r="X260">
        <v>110</v>
      </c>
      <c r="Y260">
        <v>559.23</v>
      </c>
      <c r="Z260">
        <v>0</v>
      </c>
      <c r="AA260">
        <v>0</v>
      </c>
      <c r="AB260">
        <v>0</v>
      </c>
      <c r="AC260">
        <v>0</v>
      </c>
      <c r="AD260">
        <v>1</v>
      </c>
      <c r="AE260">
        <v>0</v>
      </c>
      <c r="AF260" t="s">
        <v>3</v>
      </c>
      <c r="AG260">
        <v>110</v>
      </c>
      <c r="AH260">
        <v>2</v>
      </c>
      <c r="AI260">
        <v>37600552</v>
      </c>
      <c r="AJ260">
        <v>260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</row>
    <row r="261" spans="1:44" x14ac:dyDescent="0.2">
      <c r="A261">
        <f>ROW(Source!A356)</f>
        <v>356</v>
      </c>
      <c r="B261">
        <v>37602623</v>
      </c>
      <c r="C261">
        <v>37600545</v>
      </c>
      <c r="D261">
        <v>34190363</v>
      </c>
      <c r="E261">
        <v>1</v>
      </c>
      <c r="F261">
        <v>1</v>
      </c>
      <c r="G261">
        <v>15</v>
      </c>
      <c r="H261">
        <v>3</v>
      </c>
      <c r="I261" t="s">
        <v>250</v>
      </c>
      <c r="J261" t="s">
        <v>251</v>
      </c>
      <c r="K261" t="s">
        <v>252</v>
      </c>
      <c r="L261">
        <v>1339</v>
      </c>
      <c r="N261">
        <v>1007</v>
      </c>
      <c r="O261" t="s">
        <v>115</v>
      </c>
      <c r="P261" t="s">
        <v>115</v>
      </c>
      <c r="Q261">
        <v>1</v>
      </c>
      <c r="X261">
        <v>5</v>
      </c>
      <c r="Y261">
        <v>28.77</v>
      </c>
      <c r="Z261">
        <v>0</v>
      </c>
      <c r="AA261">
        <v>0</v>
      </c>
      <c r="AB261">
        <v>0</v>
      </c>
      <c r="AC261">
        <v>0</v>
      </c>
      <c r="AD261">
        <v>1</v>
      </c>
      <c r="AE261">
        <v>0</v>
      </c>
      <c r="AF261" t="s">
        <v>3</v>
      </c>
      <c r="AG261">
        <v>5</v>
      </c>
      <c r="AH261">
        <v>2</v>
      </c>
      <c r="AI261">
        <v>37600553</v>
      </c>
      <c r="AJ261">
        <v>261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Смета СН-2012 по гл. 1-5</vt:lpstr>
      <vt:lpstr>Дефектная ведомость</vt:lpstr>
      <vt:lpstr>RV_DATA</vt:lpstr>
      <vt:lpstr>Расчет стоимости ресурсов</vt:lpstr>
      <vt:lpstr>Source</vt:lpstr>
      <vt:lpstr>SourceObSm</vt:lpstr>
      <vt:lpstr>SmtRes</vt:lpstr>
      <vt:lpstr>EtalonRes</vt:lpstr>
      <vt:lpstr>'Дефектная ведомость'!Заголовки_для_печати</vt:lpstr>
      <vt:lpstr>'Расчет стоимости ресурсов'!Заголовки_для_печати</vt:lpstr>
      <vt:lpstr>'Смета СН-2012 по гл. 1-5'!Заголовки_для_печати</vt:lpstr>
      <vt:lpstr>'Дефектная ведомость'!Область_печати</vt:lpstr>
      <vt:lpstr>'Расчет стоимости ресурсов'!Область_печати</vt:lpstr>
      <vt:lpstr>'Смета СН-2012 по гл. 1-5'!Область_печати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Egorova</dc:creator>
  <cp:lastModifiedBy>Пользователь</cp:lastModifiedBy>
  <cp:lastPrinted>2018-06-06T09:15:24Z</cp:lastPrinted>
  <dcterms:created xsi:type="dcterms:W3CDTF">2018-03-29T06:38:01Z</dcterms:created>
  <dcterms:modified xsi:type="dcterms:W3CDTF">2018-06-26T10:28:25Z</dcterms:modified>
</cp:coreProperties>
</file>